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vbaProject.bin" ContentType="application/vnd.ms-office.vbaPro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charts/colors3.xml" ContentType="application/vnd.ms-office.chartcolorstyle+xml"/>
  <Override PartName="/xl/charts/style3.xml" ContentType="application/vnd.ms-office.chartstyle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trlProps/ctrlProp6.xml" ContentType="application/vnd.ms-excel.controlproperties+xml"/>
  <Override PartName="/xl/ctrlProps/ctrlProp1.xml" ContentType="application/vnd.ms-excel.controlproperties+xml"/>
  <Override PartName="/xl/ctrlProps/ctrlProp7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ctrlProps/ctrlProp11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00_tmp\"/>
    </mc:Choice>
  </mc:AlternateContent>
  <bookViews>
    <workbookView xWindow="0" yWindow="0" windowWidth="15525" windowHeight="11145" tabRatio="865" activeTab="7"/>
  </bookViews>
  <sheets>
    <sheet name="Mischungstemperatur" sheetId="1" r:id="rId1"/>
    <sheet name="benötigte Warmwassermenge" sheetId="3" r:id="rId2"/>
    <sheet name="Abgabemenge Boiler" sheetId="11" r:id="rId3"/>
    <sheet name="Hilfsblatt" sheetId="2" r:id="rId4"/>
    <sheet name="Wassererwärmung" sheetId="4" r:id="rId5"/>
    <sheet name="EN 60379" sheetId="5" r:id="rId6"/>
    <sheet name="Durchflussmenge" sheetId="6" r:id="rId7"/>
    <sheet name="Abkühlungsgesetz" sheetId="8" r:id="rId8"/>
    <sheet name="Grafik Abkühlungsgesetz" sheetId="10" r:id="rId9"/>
    <sheet name="Boilerdimensionierung" sheetId="13" r:id="rId10"/>
  </sheets>
  <definedNames>
    <definedName name="solver_adj" localSheetId="9" hidden="1">Boilerdimensionierung!$G$10:$H$10</definedName>
    <definedName name="solver_adj" localSheetId="0" hidden="1">Mischungstemperatur!$C$7:$D$7</definedName>
    <definedName name="solver_cvg" localSheetId="9" hidden="1">0.0001</definedName>
    <definedName name="solver_cvg" localSheetId="0" hidden="1">0.0001</definedName>
    <definedName name="solver_drv" localSheetId="9" hidden="1">1</definedName>
    <definedName name="solver_drv" localSheetId="0" hidden="1">1</definedName>
    <definedName name="solver_eng" localSheetId="9" hidden="1">1</definedName>
    <definedName name="solver_eng" localSheetId="5" hidden="1">1</definedName>
    <definedName name="solver_eng" localSheetId="0" hidden="1">1</definedName>
    <definedName name="solver_est" localSheetId="9" hidden="1">1</definedName>
    <definedName name="solver_est" localSheetId="0" hidden="1">1</definedName>
    <definedName name="solver_itr" localSheetId="9" hidden="1">2147483647</definedName>
    <definedName name="solver_itr" localSheetId="0" hidden="1">2147483647</definedName>
    <definedName name="solver_lhs1" localSheetId="9" hidden="1">Boilerdimensionierung!$G$10</definedName>
    <definedName name="solver_lhs1" localSheetId="0" hidden="1">Mischungstemperatur!$C$14</definedName>
    <definedName name="solver_lhs2" localSheetId="9" hidden="1">Boilerdimensionierung!$H$10</definedName>
    <definedName name="solver_mip" localSheetId="9" hidden="1">2147483647</definedName>
    <definedName name="solver_mip" localSheetId="0" hidden="1">2147483647</definedName>
    <definedName name="solver_mni" localSheetId="9" hidden="1">30</definedName>
    <definedName name="solver_mni" localSheetId="0" hidden="1">30</definedName>
    <definedName name="solver_mrt" localSheetId="9" hidden="1">0.075</definedName>
    <definedName name="solver_mrt" localSheetId="0" hidden="1">0.075</definedName>
    <definedName name="solver_msl" localSheetId="9" hidden="1">2</definedName>
    <definedName name="solver_msl" localSheetId="0" hidden="1">2</definedName>
    <definedName name="solver_neg" localSheetId="9" hidden="1">1</definedName>
    <definedName name="solver_neg" localSheetId="5" hidden="1">1</definedName>
    <definedName name="solver_neg" localSheetId="0" hidden="1">1</definedName>
    <definedName name="solver_nod" localSheetId="9" hidden="1">2147483647</definedName>
    <definedName name="solver_nod" localSheetId="0" hidden="1">2147483647</definedName>
    <definedName name="solver_num" localSheetId="9" hidden="1">2</definedName>
    <definedName name="solver_num" localSheetId="5" hidden="1">0</definedName>
    <definedName name="solver_num" localSheetId="0" hidden="1">0</definedName>
    <definedName name="solver_nwt" localSheetId="9" hidden="1">1</definedName>
    <definedName name="solver_nwt" localSheetId="0" hidden="1">1</definedName>
    <definedName name="solver_opt" localSheetId="9" hidden="1">Boilerdimensionierung!$K$35</definedName>
    <definedName name="solver_opt" localSheetId="5" hidden="1">'EN 60379'!$E$41</definedName>
    <definedName name="solver_opt" localSheetId="0" hidden="1">Mischungstemperatur!$C$13</definedName>
    <definedName name="solver_pre" localSheetId="9" hidden="1">0.000001</definedName>
    <definedName name="solver_pre" localSheetId="0" hidden="1">0.000001</definedName>
    <definedName name="solver_rbv" localSheetId="9" hidden="1">1</definedName>
    <definedName name="solver_rbv" localSheetId="0" hidden="1">1</definedName>
    <definedName name="solver_rel1" localSheetId="9" hidden="1">3</definedName>
    <definedName name="solver_rel1" localSheetId="0" hidden="1">2</definedName>
    <definedName name="solver_rel2" localSheetId="9" hidden="1">3</definedName>
    <definedName name="solver_rhs1" localSheetId="9" hidden="1">50</definedName>
    <definedName name="solver_rhs1" localSheetId="0" hidden="1">100</definedName>
    <definedName name="solver_rhs2" localSheetId="9" hidden="1">65</definedName>
    <definedName name="solver_rlx" localSheetId="9" hidden="1">2</definedName>
    <definedName name="solver_rlx" localSheetId="0" hidden="1">2</definedName>
    <definedName name="solver_rsd" localSheetId="9" hidden="1">0</definedName>
    <definedName name="solver_rsd" localSheetId="0" hidden="1">0</definedName>
    <definedName name="solver_scl" localSheetId="9" hidden="1">1</definedName>
    <definedName name="solver_scl" localSheetId="0" hidden="1">1</definedName>
    <definedName name="solver_sho" localSheetId="9" hidden="1">2</definedName>
    <definedName name="solver_sho" localSheetId="0" hidden="1">2</definedName>
    <definedName name="solver_ssz" localSheetId="9" hidden="1">100</definedName>
    <definedName name="solver_ssz" localSheetId="0" hidden="1">100</definedName>
    <definedName name="solver_tim" localSheetId="9" hidden="1">2147483647</definedName>
    <definedName name="solver_tim" localSheetId="0" hidden="1">2147483647</definedName>
    <definedName name="solver_tol" localSheetId="9" hidden="1">0.01</definedName>
    <definedName name="solver_tol" localSheetId="0" hidden="1">0.01</definedName>
    <definedName name="solver_typ" localSheetId="9" hidden="1">3</definedName>
    <definedName name="solver_typ" localSheetId="5" hidden="1">1</definedName>
    <definedName name="solver_typ" localSheetId="0" hidden="1">3</definedName>
    <definedName name="solver_val" localSheetId="9" hidden="1">0</definedName>
    <definedName name="solver_val" localSheetId="5" hidden="1">0</definedName>
    <definedName name="solver_val" localSheetId="0" hidden="1">40</definedName>
    <definedName name="solver_ver" localSheetId="9" hidden="1">3</definedName>
    <definedName name="solver_ver" localSheetId="5" hidden="1">3</definedName>
    <definedName name="solver_ver" localSheetId="0" hidden="1">3</definedName>
  </definedNames>
  <calcPr calcId="152511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3" l="1"/>
  <c r="H11" i="13"/>
  <c r="G12" i="13"/>
  <c r="H12" i="13"/>
  <c r="E4" i="13"/>
  <c r="H13" i="13"/>
  <c r="D14" i="13"/>
  <c r="H14" i="13"/>
  <c r="G15" i="13"/>
  <c r="I15" i="13"/>
  <c r="H15" i="13"/>
  <c r="H16" i="13"/>
  <c r="D17" i="13"/>
  <c r="H17" i="13"/>
  <c r="G18" i="13"/>
  <c r="I18" i="13"/>
  <c r="H18" i="13"/>
  <c r="H19" i="13"/>
  <c r="D20" i="13"/>
  <c r="H20" i="13"/>
  <c r="G21" i="13"/>
  <c r="I21" i="13"/>
  <c r="H21" i="13"/>
  <c r="H22" i="13"/>
  <c r="D23" i="13"/>
  <c r="H23" i="13"/>
  <c r="G24" i="13"/>
  <c r="I24" i="13"/>
  <c r="H24" i="13"/>
  <c r="H25" i="13"/>
  <c r="D26" i="13"/>
  <c r="H26" i="13"/>
  <c r="G27" i="13"/>
  <c r="I27" i="13"/>
  <c r="H27" i="13"/>
  <c r="H28" i="13"/>
  <c r="D29" i="13"/>
  <c r="H29" i="13"/>
  <c r="G30" i="13"/>
  <c r="I30" i="13"/>
  <c r="H30" i="13"/>
  <c r="H31" i="13"/>
  <c r="D32" i="13"/>
  <c r="H32" i="13"/>
  <c r="G33" i="13"/>
  <c r="I33" i="13"/>
  <c r="I12" i="13"/>
  <c r="I36" i="13"/>
  <c r="I16" i="13"/>
  <c r="I19" i="13"/>
  <c r="I22" i="13"/>
  <c r="I25" i="13"/>
  <c r="I28" i="13"/>
  <c r="I31" i="13"/>
  <c r="I34" i="13"/>
  <c r="I13" i="13"/>
  <c r="I35" i="13"/>
  <c r="K33" i="13"/>
  <c r="K30" i="13"/>
  <c r="K27" i="13"/>
  <c r="K24" i="13"/>
  <c r="K21" i="13"/>
  <c r="K18" i="13"/>
  <c r="K15" i="13"/>
  <c r="K12" i="13"/>
  <c r="K35" i="13"/>
  <c r="H33" i="13"/>
  <c r="H34" i="13"/>
  <c r="E35" i="13"/>
  <c r="A18" i="13"/>
  <c r="A21" i="13"/>
  <c r="A24" i="13"/>
  <c r="A27" i="13"/>
  <c r="A30" i="13"/>
  <c r="A33" i="13"/>
  <c r="G34" i="13"/>
  <c r="B34" i="13"/>
  <c r="B33" i="13"/>
  <c r="G32" i="13"/>
  <c r="B32" i="13"/>
  <c r="G31" i="13"/>
  <c r="B31" i="13"/>
  <c r="B30" i="13"/>
  <c r="G29" i="13"/>
  <c r="B29" i="13"/>
  <c r="G28" i="13"/>
  <c r="B28" i="13"/>
  <c r="B27" i="13"/>
  <c r="G26" i="13"/>
  <c r="B26" i="13"/>
  <c r="G25" i="13"/>
  <c r="B25" i="13"/>
  <c r="B24" i="13"/>
  <c r="G23" i="13"/>
  <c r="B23" i="13"/>
  <c r="G22" i="13"/>
  <c r="B22" i="13"/>
  <c r="B21" i="13"/>
  <c r="G20" i="13"/>
  <c r="B20" i="13"/>
  <c r="G19" i="13"/>
  <c r="B19" i="13"/>
  <c r="B18" i="13"/>
  <c r="G17" i="13"/>
  <c r="B17" i="13"/>
  <c r="B13" i="13"/>
  <c r="B12" i="13"/>
  <c r="B11" i="13"/>
  <c r="B16" i="13"/>
  <c r="B15" i="13"/>
  <c r="B14" i="13"/>
  <c r="G13" i="13"/>
  <c r="G16" i="13"/>
  <c r="G14" i="13"/>
  <c r="G11" i="13"/>
  <c r="C10" i="3"/>
  <c r="D9" i="11"/>
  <c r="C9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11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12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10" i="11"/>
  <c r="E10" i="11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C87" i="5"/>
  <c r="C83" i="5"/>
  <c r="C81" i="5"/>
  <c r="C79" i="5"/>
  <c r="E74" i="5"/>
  <c r="E75" i="5"/>
  <c r="E76" i="5"/>
  <c r="E77" i="5"/>
  <c r="C77" i="5"/>
  <c r="C64" i="5"/>
  <c r="C59" i="5"/>
  <c r="C52" i="5"/>
  <c r="C54" i="5"/>
  <c r="C58" i="5"/>
  <c r="C63" i="5"/>
  <c r="C60" i="5"/>
  <c r="C67" i="5"/>
  <c r="C68" i="5"/>
  <c r="C49" i="5"/>
  <c r="C51" i="5"/>
  <c r="C37" i="5"/>
  <c r="C38" i="5"/>
  <c r="C41" i="5"/>
  <c r="D10" i="8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4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C110" i="10"/>
  <c r="B111" i="10"/>
  <c r="C111" i="10"/>
  <c r="B112" i="10"/>
  <c r="C112" i="10"/>
  <c r="C107" i="10"/>
  <c r="C108" i="10"/>
  <c r="C109" i="10"/>
  <c r="C103" i="10"/>
  <c r="C104" i="10"/>
  <c r="C105" i="10"/>
  <c r="C106" i="10"/>
  <c r="C96" i="10"/>
  <c r="C97" i="10"/>
  <c r="C98" i="10"/>
  <c r="C99" i="10"/>
  <c r="C100" i="10"/>
  <c r="C101" i="10"/>
  <c r="C102" i="10"/>
  <c r="C92" i="10"/>
  <c r="C93" i="10"/>
  <c r="C94" i="10"/>
  <c r="C95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67" i="10"/>
  <c r="C68" i="10"/>
  <c r="C69" i="10"/>
  <c r="C70" i="10"/>
  <c r="C71" i="10"/>
  <c r="C72" i="10"/>
  <c r="C73" i="10"/>
  <c r="C74" i="10"/>
  <c r="C75" i="10"/>
  <c r="C76" i="10"/>
  <c r="C77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14" i="10"/>
  <c r="C13" i="10"/>
  <c r="D12" i="8"/>
  <c r="D13" i="8"/>
  <c r="C20" i="5"/>
  <c r="C23" i="5"/>
  <c r="C24" i="5"/>
  <c r="C27" i="5"/>
  <c r="C28" i="5"/>
  <c r="C16" i="6"/>
  <c r="C20" i="6"/>
  <c r="C23" i="6"/>
  <c r="C24" i="6"/>
  <c r="C9" i="6"/>
  <c r="C27" i="6"/>
  <c r="C28" i="6"/>
  <c r="C29" i="6"/>
  <c r="C36" i="6"/>
  <c r="C19" i="6"/>
  <c r="K20" i="4"/>
  <c r="C5" i="6"/>
  <c r="C7" i="5"/>
  <c r="F11" i="5"/>
  <c r="F13" i="5"/>
  <c r="F14" i="5"/>
  <c r="C11" i="5"/>
  <c r="C13" i="5"/>
  <c r="C14" i="5"/>
  <c r="F12" i="5"/>
  <c r="C12" i="5"/>
  <c r="C6" i="4"/>
  <c r="C13" i="4"/>
  <c r="C14" i="4"/>
  <c r="C23" i="4"/>
  <c r="C9" i="4"/>
  <c r="C18" i="4"/>
  <c r="C19" i="4"/>
  <c r="G9" i="1"/>
  <c r="F9" i="1"/>
  <c r="E9" i="1"/>
  <c r="D9" i="1"/>
  <c r="C9" i="1"/>
  <c r="C13" i="1"/>
  <c r="C14" i="1"/>
  <c r="D7" i="2"/>
  <c r="D13" i="2"/>
  <c r="D12" i="2"/>
  <c r="D19" i="2"/>
  <c r="D10" i="2"/>
  <c r="D3" i="2"/>
  <c r="D14" i="2"/>
  <c r="D5" i="2"/>
  <c r="D8" i="2"/>
  <c r="D16" i="2"/>
  <c r="D20" i="2"/>
  <c r="D9" i="2"/>
  <c r="D17" i="2"/>
  <c r="D18" i="2"/>
  <c r="D22" i="2"/>
  <c r="D11" i="2"/>
  <c r="D6" i="2"/>
  <c r="D15" i="2"/>
  <c r="D4" i="2"/>
  <c r="D21" i="2"/>
</calcChain>
</file>

<file path=xl/sharedStrings.xml><?xml version="1.0" encoding="utf-8"?>
<sst xmlns="http://schemas.openxmlformats.org/spreadsheetml/2006/main" count="257" uniqueCount="145">
  <si>
    <t>Berechnung der Mischungstemperatur</t>
  </si>
  <si>
    <t>Voraussetzung:</t>
  </si>
  <si>
    <t>keine Aggregatszustandsänderung</t>
  </si>
  <si>
    <t>Masse Körper</t>
  </si>
  <si>
    <t>Körper 1</t>
  </si>
  <si>
    <t>Köprer 2</t>
  </si>
  <si>
    <t>Körper 3</t>
  </si>
  <si>
    <t>Körper 4</t>
  </si>
  <si>
    <t>Körper 5</t>
  </si>
  <si>
    <t>spezifische Wärmekapazität</t>
  </si>
  <si>
    <t>Wasser</t>
  </si>
  <si>
    <t>Eis (bei 0° C)</t>
  </si>
  <si>
    <t>Holz trocken</t>
  </si>
  <si>
    <t>Sand/Gestein/Ziegel/Beton</t>
  </si>
  <si>
    <t>Glas</t>
  </si>
  <si>
    <t>Aluminium</t>
  </si>
  <si>
    <t>Kupfer</t>
  </si>
  <si>
    <t>Blei</t>
  </si>
  <si>
    <t>Holz natürlich</t>
  </si>
  <si>
    <t>Eisen/Stahl</t>
  </si>
  <si>
    <t>Messing</t>
  </si>
  <si>
    <t>Silber</t>
  </si>
  <si>
    <t>Ethanol</t>
  </si>
  <si>
    <t>Petoleum</t>
  </si>
  <si>
    <t>Quecksilber</t>
  </si>
  <si>
    <t>Wasserstoff</t>
  </si>
  <si>
    <t>Helium</t>
  </si>
  <si>
    <t>Butan</t>
  </si>
  <si>
    <t>Luft</t>
  </si>
  <si>
    <t>Argon</t>
  </si>
  <si>
    <t>J/(kg*K)</t>
  </si>
  <si>
    <t>kJ*kg^(−1)*K^(−1)</t>
  </si>
  <si>
    <t>Material</t>
  </si>
  <si>
    <t>Temperatur</t>
  </si>
  <si>
    <t>Mischungstemperatur</t>
  </si>
  <si>
    <t>Mischungsmenge</t>
  </si>
  <si>
    <t>Grad</t>
  </si>
  <si>
    <t>Zieltemperatur</t>
  </si>
  <si>
    <t>Zielmenge</t>
  </si>
  <si>
    <t>Ausgangstemperatur</t>
  </si>
  <si>
    <t>Berechnung der benötigten Warmwassermenge</t>
  </si>
  <si>
    <t>dm³</t>
  </si>
  <si>
    <t>° C</t>
  </si>
  <si>
    <t>Endtemperatur</t>
  </si>
  <si>
    <t>Stoff</t>
  </si>
  <si>
    <t>∆T</t>
  </si>
  <si>
    <t>°C</t>
  </si>
  <si>
    <t>Masse</t>
  </si>
  <si>
    <t>kg</t>
  </si>
  <si>
    <t>Joule</t>
  </si>
  <si>
    <t>W</t>
  </si>
  <si>
    <t>kWh</t>
  </si>
  <si>
    <t>∆t</t>
  </si>
  <si>
    <t>h</t>
  </si>
  <si>
    <t>Dauer für das Aufwärmen</t>
  </si>
  <si>
    <t>Leistungsaufnahme</t>
  </si>
  <si>
    <t>kW</t>
  </si>
  <si>
    <t>∆Q (erforderliche Wärmemenge)</t>
  </si>
  <si>
    <t>min</t>
  </si>
  <si>
    <t>Kosten für das Aufwärmen</t>
  </si>
  <si>
    <t>Cent / kWh</t>
  </si>
  <si>
    <t>Strompreis</t>
  </si>
  <si>
    <t>Kosten gesamt</t>
  </si>
  <si>
    <t>Cent</t>
  </si>
  <si>
    <t>Wassererwärmung</t>
  </si>
  <si>
    <t>Wärmemenge</t>
  </si>
  <si>
    <t>Volumen</t>
  </si>
  <si>
    <t>Liter</t>
  </si>
  <si>
    <t>Thermal losses</t>
  </si>
  <si>
    <t>kWh/24h gem. EN 60379:2005</t>
  </si>
  <si>
    <t>Energieverbrauch in 24h pro 10 Liter Inhalt [kWh]</t>
  </si>
  <si>
    <t>Bereitstellungsenergieverbrauch von Boilern</t>
  </si>
  <si>
    <t>Preis</t>
  </si>
  <si>
    <t>Kosten auf Volumen</t>
  </si>
  <si>
    <t>Cent / Tag</t>
  </si>
  <si>
    <t>Kosten auf 10l Inhalt</t>
  </si>
  <si>
    <t>Euro / Monat</t>
  </si>
  <si>
    <t>Euro / Jahr</t>
  </si>
  <si>
    <t>Euro / 10 Jahre</t>
  </si>
  <si>
    <t>Durchflussmenge</t>
  </si>
  <si>
    <t>L</t>
  </si>
  <si>
    <t>Dauer</t>
  </si>
  <si>
    <t>L/min = kg/min</t>
  </si>
  <si>
    <t>L/sec = kg/min</t>
  </si>
  <si>
    <t>Energieverbrauch in kW</t>
  </si>
  <si>
    <t>Masse (Badewannengröße)</t>
  </si>
  <si>
    <t>Warmwasserleistung</t>
  </si>
  <si>
    <t>Warmwasserleistung; Durchflussmenge</t>
  </si>
  <si>
    <t>Oberfläche Boiler</t>
  </si>
  <si>
    <t>Breite</t>
  </si>
  <si>
    <t>Höhe</t>
  </si>
  <si>
    <t>Tiefe</t>
  </si>
  <si>
    <t>mm</t>
  </si>
  <si>
    <t>m</t>
  </si>
  <si>
    <t>mm²</t>
  </si>
  <si>
    <t>m²</t>
  </si>
  <si>
    <t>Teilfrage 1: Um wieviel ist der Boiler binnen der 24h kühler geworden</t>
  </si>
  <si>
    <t>Anfangstemperatur</t>
  </si>
  <si>
    <t>(unbekannt)</t>
  </si>
  <si>
    <t>°C gem. EN 60379:2005</t>
  </si>
  <si>
    <t>°C (Temperaturabnahme = Lösung)</t>
  </si>
  <si>
    <t>Abgeführte Wärmemenge durch die Behälterwand</t>
  </si>
  <si>
    <t>http://www.schweizer-fn.de/waerme/waermeabstrahlung/waermeabstrahlung.php</t>
  </si>
  <si>
    <t>Newtonsches Abkühlungsgesetz</t>
  </si>
  <si>
    <t>Umgebungstemperatur</t>
  </si>
  <si>
    <t>Dauer in Minuten (X)</t>
  </si>
  <si>
    <t>Proportionalitätskonstante (k)</t>
  </si>
  <si>
    <t>Temperatur zu t=X (T(t))</t>
  </si>
  <si>
    <t>Temperatur zu t=0 (T0)</t>
  </si>
  <si>
    <t>Abkühlung um °C</t>
  </si>
  <si>
    <t>Temperaturentwicklung</t>
  </si>
  <si>
    <t>nach Zeiteinheiten</t>
  </si>
  <si>
    <t>Teilfrage 2: Berechnung der Proportionalitätskonstante</t>
  </si>
  <si>
    <t>unter Verwendung des Newtonschen Abkühlungsgesetzes</t>
  </si>
  <si>
    <t>Teilfrage 3: Berechnung der Abkühlung bei höherer Ausgangstemperatur</t>
  </si>
  <si>
    <t>Teilfrage 4: Berechnung des Energieaufwandes bei höherer Ausgangstemperatur</t>
  </si>
  <si>
    <t>Teilfrage 5: Berechnung des Wärmeübertragungskoeffizienten</t>
  </si>
  <si>
    <t>Oberfläche (A)</t>
  </si>
  <si>
    <t>Fassungsvolumen</t>
  </si>
  <si>
    <t>Eigengewicht</t>
  </si>
  <si>
    <t>Gesamtmasse (m)</t>
  </si>
  <si>
    <t xml:space="preserve">spezfifische Wärmekapazität (c) </t>
  </si>
  <si>
    <r>
      <t>Wärmeübertragungskoeffizient (</t>
    </r>
    <r>
      <rPr>
        <sz val="11"/>
        <color theme="1"/>
        <rFont val="Calibri"/>
        <family val="2"/>
      </rPr>
      <t>α)</t>
    </r>
  </si>
  <si>
    <t>Kaltwassertemperatur</t>
  </si>
  <si>
    <t>Temperatur Boiler</t>
  </si>
  <si>
    <t>benötigte Wassermenge</t>
  </si>
  <si>
    <t>Abgabemenge eines Boilers in für eine bestimmte Temperatur</t>
  </si>
  <si>
    <t>Fassungvermögen Boiler</t>
  </si>
  <si>
    <t>l = kg</t>
  </si>
  <si>
    <t>Mischtemperatur</t>
  </si>
  <si>
    <t>Kaltwasser</t>
  </si>
  <si>
    <t>Gesamtwasser</t>
  </si>
  <si>
    <t>°C (Temperaturabnahme)</t>
  </si>
  <si>
    <t>Ausgangssituation</t>
  </si>
  <si>
    <t>Boiler</t>
  </si>
  <si>
    <t>machbar</t>
  </si>
  <si>
    <t>Uhrzeit</t>
  </si>
  <si>
    <t>Proportionalitätskonstante</t>
  </si>
  <si>
    <t>Verbrauch</t>
  </si>
  <si>
    <t>Warmwasserverbrauch in Liter</t>
  </si>
  <si>
    <t>Kaltwasserverbrauch in Liter</t>
  </si>
  <si>
    <t>davon Mischwasser</t>
  </si>
  <si>
    <t>von</t>
  </si>
  <si>
    <t>bis</t>
  </si>
  <si>
    <t>Boilerdimensionierung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</si>
</sst>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000\ _€_-;\-* #,##0.00000\ _€_-;_-* &quot;-&quot;??\ _€_-;_-@_-"/>
    <numFmt numFmtId="165" formatCode="_-* #,##0.000000000\ _€_-;\-* #,##0.000000000\ _€_-;_-* &quot;-&quot;??\ _€_-;_-@_-"/>
    <numFmt numFmtId="166" formatCode="_-* #,##0.000000000000000\ _€_-;\-* #,##0.000000000000000\ _€_-;_-* &quot;-&quot;??\ _€_-;_-@_-"/>
    <numFmt numFmtId="167" formatCode="[$-F400]h:mm:ss\ AM/PM"/>
    <numFmt numFmtId="168" formatCode="_-* #,##0.000000000000000\ _€_-;\-* #,##0.000000000000000\ _€_-;_-* &quot;-&quot;???????????????\ _€_-;_-@_-"/>
    <numFmt numFmtId="169" formatCode="hh:mm&quot; Uhr&quot;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4" fillId="0" borderId="7" applyNumberFormat="0" applyFill="0" applyAlignment="0" applyProtection="0"/>
    <xf numFmtId="0" fontId="1" fillId="4" borderId="0" applyNumberFormat="0" applyBorder="0" applyAlignment="0" applyProtection="0"/>
  </cellStyleXfs>
  <cellXfs count="80">
    <xf numFmtId="0" fontId="0" fillId="0" borderId="0" xfId="0"/>
    <xf numFmtId="43" fontId="0" fillId="0" borderId="0" xfId="1" applyFont="1"/>
    <xf numFmtId="43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2" borderId="2" xfId="3"/>
    <xf numFmtId="43" fontId="6" fillId="3" borderId="0" xfId="4" applyNumberFormat="1" applyFont="1"/>
    <xf numFmtId="43" fontId="3" fillId="2" borderId="2" xfId="1" applyFont="1" applyFill="1" applyBorder="1"/>
    <xf numFmtId="0" fontId="1" fillId="4" borderId="0" xfId="8"/>
    <xf numFmtId="43" fontId="1" fillId="4" borderId="0" xfId="1" applyFill="1"/>
    <xf numFmtId="0" fontId="9" fillId="0" borderId="0" xfId="0" applyFont="1"/>
    <xf numFmtId="43" fontId="3" fillId="2" borderId="2" xfId="3" applyNumberFormat="1"/>
    <xf numFmtId="0" fontId="8" fillId="0" borderId="6" xfId="6"/>
    <xf numFmtId="164" fontId="4" fillId="0" borderId="7" xfId="1" applyNumberFormat="1" applyFont="1" applyBorder="1"/>
    <xf numFmtId="43" fontId="4" fillId="0" borderId="7" xfId="7" applyNumberFormat="1"/>
    <xf numFmtId="166" fontId="3" fillId="2" borderId="2" xfId="1" applyNumberFormat="1" applyFont="1" applyFill="1" applyBorder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/>
    <xf numFmtId="43" fontId="0" fillId="0" borderId="10" xfId="1" applyFont="1" applyBorder="1"/>
    <xf numFmtId="43" fontId="0" fillId="0" borderId="11" xfId="1" applyFont="1" applyBorder="1"/>
    <xf numFmtId="43" fontId="3" fillId="2" borderId="12" xfId="3" applyNumberFormat="1" applyBorder="1"/>
    <xf numFmtId="43" fontId="3" fillId="2" borderId="13" xfId="3" applyNumberFormat="1" applyBorder="1"/>
    <xf numFmtId="43" fontId="0" fillId="0" borderId="14" xfId="1" applyFont="1" applyBorder="1"/>
    <xf numFmtId="43" fontId="0" fillId="0" borderId="15" xfId="1" applyFont="1" applyBorder="1"/>
    <xf numFmtId="43" fontId="1" fillId="4" borderId="10" xfId="8" applyNumberFormat="1" applyBorder="1"/>
    <xf numFmtId="43" fontId="1" fillId="4" borderId="11" xfId="8" applyNumberFormat="1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" xfId="2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5" applyAlignment="1">
      <alignment horizontal="center"/>
    </xf>
    <xf numFmtId="0" fontId="8" fillId="0" borderId="6" xfId="6" applyAlignment="1">
      <alignment horizontal="left"/>
    </xf>
    <xf numFmtId="0" fontId="8" fillId="0" borderId="6" xfId="6" applyAlignment="1">
      <alignment horizontal="center"/>
    </xf>
    <xf numFmtId="43" fontId="0" fillId="0" borderId="21" xfId="0" applyNumberFormat="1" applyBorder="1"/>
    <xf numFmtId="0" fontId="0" fillId="0" borderId="0" xfId="0" applyBorder="1" applyAlignment="1">
      <alignment horizontal="center"/>
    </xf>
    <xf numFmtId="169" fontId="3" fillId="2" borderId="22" xfId="3" applyNumberFormat="1" applyBorder="1"/>
    <xf numFmtId="169" fontId="0" fillId="0" borderId="16" xfId="0" applyNumberFormat="1" applyBorder="1"/>
    <xf numFmtId="43" fontId="0" fillId="0" borderId="8" xfId="1" applyFont="1" applyBorder="1"/>
    <xf numFmtId="43" fontId="0" fillId="0" borderId="9" xfId="1" applyFont="1" applyBorder="1"/>
    <xf numFmtId="43" fontId="3" fillId="2" borderId="22" xfId="3" applyNumberFormat="1" applyBorder="1"/>
    <xf numFmtId="43" fontId="3" fillId="2" borderId="23" xfId="3" applyNumberFormat="1" applyBorder="1"/>
    <xf numFmtId="169" fontId="1" fillId="4" borderId="10" xfId="8" applyNumberFormat="1" applyBorder="1"/>
    <xf numFmtId="0" fontId="1" fillId="4" borderId="0" xfId="8" applyNumberFormat="1" applyBorder="1"/>
    <xf numFmtId="169" fontId="3" fillId="2" borderId="12" xfId="3" applyNumberFormat="1" applyBorder="1"/>
    <xf numFmtId="169" fontId="0" fillId="0" borderId="0" xfId="0" applyNumberFormat="1" applyBorder="1"/>
    <xf numFmtId="169" fontId="0" fillId="0" borderId="10" xfId="0" applyNumberFormat="1" applyBorder="1"/>
    <xf numFmtId="169" fontId="0" fillId="0" borderId="14" xfId="0" applyNumberFormat="1" applyBorder="1"/>
    <xf numFmtId="169" fontId="0" fillId="0" borderId="17" xfId="0" applyNumberFormat="1" applyBorder="1"/>
    <xf numFmtId="43" fontId="11" fillId="0" borderId="10" xfId="1" applyFont="1" applyBorder="1"/>
    <xf numFmtId="43" fontId="11" fillId="0" borderId="14" xfId="1" applyFont="1" applyBorder="1"/>
    <xf numFmtId="0" fontId="0" fillId="0" borderId="0" xfId="0" applyAlignment="1">
      <alignment horizontal="right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4" xfId="0" applyBorder="1"/>
    <xf numFmtId="0" fontId="0" fillId="0" borderId="17" xfId="0" applyBorder="1"/>
    <xf numFmtId="0" fontId="0" fillId="0" borderId="15" xfId="0" applyBorder="1"/>
    <xf numFmtId="0" fontId="2" fillId="0" borderId="24" xfId="2" applyBorder="1" applyAlignment="1">
      <alignment horizontal="center"/>
    </xf>
    <xf numFmtId="0" fontId="2" fillId="0" borderId="25" xfId="2" applyBorder="1" applyAlignment="1">
      <alignment horizontal="center"/>
    </xf>
    <xf numFmtId="0" fontId="2" fillId="0" borderId="26" xfId="2" applyBorder="1" applyAlignment="1">
      <alignment horizontal="center"/>
    </xf>
    <xf numFmtId="0" fontId="3" fillId="2" borderId="2" xfId="3" applyBorder="1"/>
    <xf numFmtId="0" fontId="3" fillId="2" borderId="13" xfId="3" applyBorder="1"/>
    <xf numFmtId="0" fontId="0" fillId="0" borderId="0" xfId="0" applyAlignment="1"/>
    <xf numFmtId="0" fontId="3" fillId="2" borderId="2" xfId="3" applyAlignment="1">
      <alignment horizontal="right"/>
    </xf>
  </cellXfs>
  <cellStyles count="9">
    <cellStyle name="20 % - Akzent5" xfId="8" builtinId="46"/>
    <cellStyle name="Akzent5" xfId="4" builtinId="45"/>
    <cellStyle name="Eingabe" xfId="3" builtinId="20"/>
    <cellStyle name="Ergebnis" xfId="7" builtinId="25"/>
    <cellStyle name="Komma" xfId="1" builtinId="3"/>
    <cellStyle name="Standard" xfId="0" builtinId="0"/>
    <cellStyle name="Überschrift" xfId="5" builtinId="15"/>
    <cellStyle name="Überschrift 1" xfId="2" builtinId="16"/>
    <cellStyle name="Überschrift 2" xfId="6" builtinId="17"/>
  </cellStyles>
  <dxfs count="2">
    <dxf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benötigte Wassermenge für</a:t>
            </a:r>
            <a:r>
              <a:rPr lang="de-AT" baseline="0"/>
              <a:t> bestimmte Mischungstemperatur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9.1735648428561811E-3"/>
                  <c:y val="4.803448016188743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'benötigte Warmwassermenge'!$B$10:$B$45</c:f>
              <c:numCache>
                <c:formatCode>_(* #,##0.00_);_(* \(#,##0.00\);_(* "-"??_);_(@_)</c:formatCod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</c:numCache>
            </c:numRef>
          </c:cat>
          <c:val>
            <c:numRef>
              <c:f>'benötigte Warmwassermenge'!$C$10:$C$45</c:f>
              <c:numCache>
                <c:formatCode>_(* #,##0.00_);_(* \(#,##0.00\);_(* "-"??_);_(@_)</c:formatCode>
                <c:ptCount val="36"/>
                <c:pt idx="0">
                  <c:v>150</c:v>
                </c:pt>
                <c:pt idx="1">
                  <c:v>146.9387755102041</c:v>
                </c:pt>
                <c:pt idx="2">
                  <c:v>144</c:v>
                </c:pt>
                <c:pt idx="3">
                  <c:v>141.1764705882353</c:v>
                </c:pt>
                <c:pt idx="4">
                  <c:v>138.46153846153845</c:v>
                </c:pt>
                <c:pt idx="5">
                  <c:v>135.84905660377359</c:v>
                </c:pt>
                <c:pt idx="6">
                  <c:v>133.33333333333334</c:v>
                </c:pt>
                <c:pt idx="7">
                  <c:v>130.90909090909091</c:v>
                </c:pt>
                <c:pt idx="8">
                  <c:v>128.57142857142858</c:v>
                </c:pt>
                <c:pt idx="9">
                  <c:v>126.31578947368421</c:v>
                </c:pt>
                <c:pt idx="10">
                  <c:v>124.13793103448276</c:v>
                </c:pt>
                <c:pt idx="11">
                  <c:v>122.03389830508475</c:v>
                </c:pt>
                <c:pt idx="12">
                  <c:v>120</c:v>
                </c:pt>
                <c:pt idx="13">
                  <c:v>118.0327868852459</c:v>
                </c:pt>
                <c:pt idx="14">
                  <c:v>116.12903225806451</c:v>
                </c:pt>
                <c:pt idx="15">
                  <c:v>114.28571428571429</c:v>
                </c:pt>
                <c:pt idx="16">
                  <c:v>112.5</c:v>
                </c:pt>
                <c:pt idx="17">
                  <c:v>110.76923076923077</c:v>
                </c:pt>
                <c:pt idx="18">
                  <c:v>109.09090909090909</c:v>
                </c:pt>
                <c:pt idx="19">
                  <c:v>107.46268656716418</c:v>
                </c:pt>
                <c:pt idx="20">
                  <c:v>105.88235294117646</c:v>
                </c:pt>
                <c:pt idx="21">
                  <c:v>104.34782608695652</c:v>
                </c:pt>
                <c:pt idx="22">
                  <c:v>102.85714285714286</c:v>
                </c:pt>
                <c:pt idx="23">
                  <c:v>101.40845070422536</c:v>
                </c:pt>
                <c:pt idx="24">
                  <c:v>100</c:v>
                </c:pt>
                <c:pt idx="25">
                  <c:v>98.630136986301366</c:v>
                </c:pt>
                <c:pt idx="26">
                  <c:v>97.297297297297291</c:v>
                </c:pt>
                <c:pt idx="27">
                  <c:v>96</c:v>
                </c:pt>
                <c:pt idx="28">
                  <c:v>94.736842105263165</c:v>
                </c:pt>
                <c:pt idx="29">
                  <c:v>93.506493506493513</c:v>
                </c:pt>
                <c:pt idx="30">
                  <c:v>92.307692307692307</c:v>
                </c:pt>
                <c:pt idx="31">
                  <c:v>91.139240506329116</c:v>
                </c:pt>
                <c:pt idx="32">
                  <c:v>90</c:v>
                </c:pt>
                <c:pt idx="33">
                  <c:v>88.888888888888886</c:v>
                </c:pt>
                <c:pt idx="34">
                  <c:v>87.804878048780495</c:v>
                </c:pt>
                <c:pt idx="35">
                  <c:v>86.746987951807228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476408"/>
        <c:axId val="389479152"/>
      </c:lineChart>
      <c:catAx>
        <c:axId val="38947640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9479152"/>
        <c:crosses val="autoZero"/>
        <c:auto val="1"/>
        <c:lblAlgn val="ctr"/>
        <c:lblOffset val="100"/>
        <c:noMultiLvlLbl val="0"/>
      </c:catAx>
      <c:valAx>
        <c:axId val="38947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9476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Abgabemenge</a:t>
            </a:r>
            <a:r>
              <a:rPr lang="de-AT" baseline="0"/>
              <a:t> eines Boilers für Mischungstemperaturen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'Abgabemenge Boiler'!$C$9</c:f>
              <c:strCache>
                <c:ptCount val="1"/>
                <c:pt idx="0">
                  <c:v>Warmwasser 80°C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'Abgabemenge Boiler'!$B$10:$B$60</c:f>
              <c:numCache>
                <c:formatCode>_(* #,##0.00_);_(* \(#,##0.00\);_(* "-"??_);_(@_)</c:formatCode>
                <c:ptCount val="51"/>
                <c:pt idx="0">
                  <c:v>35</c:v>
                </c:pt>
                <c:pt idx="1">
                  <c:v>35.9</c:v>
                </c:pt>
                <c:pt idx="2">
                  <c:v>36.799999999999997</c:v>
                </c:pt>
                <c:pt idx="3">
                  <c:v>37.700000000000003</c:v>
                </c:pt>
                <c:pt idx="4">
                  <c:v>38.6</c:v>
                </c:pt>
                <c:pt idx="5">
                  <c:v>39.5</c:v>
                </c:pt>
                <c:pt idx="6">
                  <c:v>40.4</c:v>
                </c:pt>
                <c:pt idx="7">
                  <c:v>41.3</c:v>
                </c:pt>
                <c:pt idx="8">
                  <c:v>42.2</c:v>
                </c:pt>
                <c:pt idx="9">
                  <c:v>43.1</c:v>
                </c:pt>
                <c:pt idx="10">
                  <c:v>44</c:v>
                </c:pt>
                <c:pt idx="11">
                  <c:v>44.9</c:v>
                </c:pt>
                <c:pt idx="12">
                  <c:v>45.8</c:v>
                </c:pt>
                <c:pt idx="13">
                  <c:v>46.7</c:v>
                </c:pt>
                <c:pt idx="14">
                  <c:v>47.6</c:v>
                </c:pt>
                <c:pt idx="15">
                  <c:v>48.5</c:v>
                </c:pt>
                <c:pt idx="16">
                  <c:v>49.4</c:v>
                </c:pt>
                <c:pt idx="17">
                  <c:v>50.3</c:v>
                </c:pt>
                <c:pt idx="18">
                  <c:v>51.2</c:v>
                </c:pt>
                <c:pt idx="19">
                  <c:v>52.1</c:v>
                </c:pt>
                <c:pt idx="20">
                  <c:v>53</c:v>
                </c:pt>
                <c:pt idx="21">
                  <c:v>53.900000000000006</c:v>
                </c:pt>
                <c:pt idx="22">
                  <c:v>54.8</c:v>
                </c:pt>
                <c:pt idx="23">
                  <c:v>55.7</c:v>
                </c:pt>
                <c:pt idx="24">
                  <c:v>56.6</c:v>
                </c:pt>
                <c:pt idx="25">
                  <c:v>57.5</c:v>
                </c:pt>
                <c:pt idx="26">
                  <c:v>58.400000000000006</c:v>
                </c:pt>
                <c:pt idx="27">
                  <c:v>59.3</c:v>
                </c:pt>
                <c:pt idx="28">
                  <c:v>60.2</c:v>
                </c:pt>
                <c:pt idx="29">
                  <c:v>61.1</c:v>
                </c:pt>
                <c:pt idx="30">
                  <c:v>62</c:v>
                </c:pt>
                <c:pt idx="31">
                  <c:v>62.900000000000006</c:v>
                </c:pt>
                <c:pt idx="32">
                  <c:v>63.8</c:v>
                </c:pt>
                <c:pt idx="33">
                  <c:v>64.7</c:v>
                </c:pt>
                <c:pt idx="34">
                  <c:v>65.599999999999994</c:v>
                </c:pt>
                <c:pt idx="35">
                  <c:v>66.5</c:v>
                </c:pt>
                <c:pt idx="36">
                  <c:v>67.400000000000006</c:v>
                </c:pt>
                <c:pt idx="37">
                  <c:v>68.300000000000011</c:v>
                </c:pt>
                <c:pt idx="38">
                  <c:v>69.2</c:v>
                </c:pt>
                <c:pt idx="39">
                  <c:v>70.099999999999994</c:v>
                </c:pt>
                <c:pt idx="40">
                  <c:v>71</c:v>
                </c:pt>
                <c:pt idx="41">
                  <c:v>71.900000000000006</c:v>
                </c:pt>
                <c:pt idx="42">
                  <c:v>72.800000000000011</c:v>
                </c:pt>
                <c:pt idx="43">
                  <c:v>73.7</c:v>
                </c:pt>
                <c:pt idx="44">
                  <c:v>74.599999999999994</c:v>
                </c:pt>
                <c:pt idx="45">
                  <c:v>75.5</c:v>
                </c:pt>
                <c:pt idx="46">
                  <c:v>76.400000000000006</c:v>
                </c:pt>
                <c:pt idx="47">
                  <c:v>77.300000000000011</c:v>
                </c:pt>
                <c:pt idx="48">
                  <c:v>78.2</c:v>
                </c:pt>
                <c:pt idx="49">
                  <c:v>79.099999999999994</c:v>
                </c:pt>
                <c:pt idx="50">
                  <c:v>80</c:v>
                </c:pt>
              </c:numCache>
            </c:numRef>
          </c:cat>
          <c:val>
            <c:numRef>
              <c:f>'Abgabemenge Boiler'!$C$10:$C$60</c:f>
              <c:numCache>
                <c:formatCode>_(* #,##0.00_);_(* \(#,##0.00\);_(* "-"??_);_(@_)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'Abgabemenge Boiler'!$D$9</c:f>
              <c:strCache>
                <c:ptCount val="1"/>
                <c:pt idx="0">
                  <c:v>Kaltwasser 12°C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'Abgabemenge Boiler'!$B$10:$B$60</c:f>
              <c:numCache>
                <c:formatCode>_(* #,##0.00_);_(* \(#,##0.00\);_(* "-"??_);_(@_)</c:formatCode>
                <c:ptCount val="51"/>
                <c:pt idx="0">
                  <c:v>35</c:v>
                </c:pt>
                <c:pt idx="1">
                  <c:v>35.9</c:v>
                </c:pt>
                <c:pt idx="2">
                  <c:v>36.799999999999997</c:v>
                </c:pt>
                <c:pt idx="3">
                  <c:v>37.700000000000003</c:v>
                </c:pt>
                <c:pt idx="4">
                  <c:v>38.6</c:v>
                </c:pt>
                <c:pt idx="5">
                  <c:v>39.5</c:v>
                </c:pt>
                <c:pt idx="6">
                  <c:v>40.4</c:v>
                </c:pt>
                <c:pt idx="7">
                  <c:v>41.3</c:v>
                </c:pt>
                <c:pt idx="8">
                  <c:v>42.2</c:v>
                </c:pt>
                <c:pt idx="9">
                  <c:v>43.1</c:v>
                </c:pt>
                <c:pt idx="10">
                  <c:v>44</c:v>
                </c:pt>
                <c:pt idx="11">
                  <c:v>44.9</c:v>
                </c:pt>
                <c:pt idx="12">
                  <c:v>45.8</c:v>
                </c:pt>
                <c:pt idx="13">
                  <c:v>46.7</c:v>
                </c:pt>
                <c:pt idx="14">
                  <c:v>47.6</c:v>
                </c:pt>
                <c:pt idx="15">
                  <c:v>48.5</c:v>
                </c:pt>
                <c:pt idx="16">
                  <c:v>49.4</c:v>
                </c:pt>
                <c:pt idx="17">
                  <c:v>50.3</c:v>
                </c:pt>
                <c:pt idx="18">
                  <c:v>51.2</c:v>
                </c:pt>
                <c:pt idx="19">
                  <c:v>52.1</c:v>
                </c:pt>
                <c:pt idx="20">
                  <c:v>53</c:v>
                </c:pt>
                <c:pt idx="21">
                  <c:v>53.900000000000006</c:v>
                </c:pt>
                <c:pt idx="22">
                  <c:v>54.8</c:v>
                </c:pt>
                <c:pt idx="23">
                  <c:v>55.7</c:v>
                </c:pt>
                <c:pt idx="24">
                  <c:v>56.6</c:v>
                </c:pt>
                <c:pt idx="25">
                  <c:v>57.5</c:v>
                </c:pt>
                <c:pt idx="26">
                  <c:v>58.400000000000006</c:v>
                </c:pt>
                <c:pt idx="27">
                  <c:v>59.3</c:v>
                </c:pt>
                <c:pt idx="28">
                  <c:v>60.2</c:v>
                </c:pt>
                <c:pt idx="29">
                  <c:v>61.1</c:v>
                </c:pt>
                <c:pt idx="30">
                  <c:v>62</c:v>
                </c:pt>
                <c:pt idx="31">
                  <c:v>62.900000000000006</c:v>
                </c:pt>
                <c:pt idx="32">
                  <c:v>63.8</c:v>
                </c:pt>
                <c:pt idx="33">
                  <c:v>64.7</c:v>
                </c:pt>
                <c:pt idx="34">
                  <c:v>65.599999999999994</c:v>
                </c:pt>
                <c:pt idx="35">
                  <c:v>66.5</c:v>
                </c:pt>
                <c:pt idx="36">
                  <c:v>67.400000000000006</c:v>
                </c:pt>
                <c:pt idx="37">
                  <c:v>68.300000000000011</c:v>
                </c:pt>
                <c:pt idx="38">
                  <c:v>69.2</c:v>
                </c:pt>
                <c:pt idx="39">
                  <c:v>70.099999999999994</c:v>
                </c:pt>
                <c:pt idx="40">
                  <c:v>71</c:v>
                </c:pt>
                <c:pt idx="41">
                  <c:v>71.900000000000006</c:v>
                </c:pt>
                <c:pt idx="42">
                  <c:v>72.800000000000011</c:v>
                </c:pt>
                <c:pt idx="43">
                  <c:v>73.7</c:v>
                </c:pt>
                <c:pt idx="44">
                  <c:v>74.599999999999994</c:v>
                </c:pt>
                <c:pt idx="45">
                  <c:v>75.5</c:v>
                </c:pt>
                <c:pt idx="46">
                  <c:v>76.400000000000006</c:v>
                </c:pt>
                <c:pt idx="47">
                  <c:v>77.300000000000011</c:v>
                </c:pt>
                <c:pt idx="48">
                  <c:v>78.2</c:v>
                </c:pt>
                <c:pt idx="49">
                  <c:v>79.099999999999994</c:v>
                </c:pt>
                <c:pt idx="50">
                  <c:v>80</c:v>
                </c:pt>
              </c:numCache>
            </c:numRef>
          </c:cat>
          <c:val>
            <c:numRef>
              <c:f>'Abgabemenge Boiler'!$D$10:$D$60</c:f>
              <c:numCache>
                <c:formatCode>_(* #,##0.00_);_(* \(#,##0.00\);_(* "-"??_);_(@_)</c:formatCode>
                <c:ptCount val="51"/>
                <c:pt idx="0">
                  <c:v>195.65217391304347</c:v>
                </c:pt>
                <c:pt idx="1">
                  <c:v>184.51882845188285</c:v>
                </c:pt>
                <c:pt idx="2">
                  <c:v>174.1935483870968</c:v>
                </c:pt>
                <c:pt idx="3">
                  <c:v>164.59143968871592</c:v>
                </c:pt>
                <c:pt idx="4">
                  <c:v>155.6390977443609</c:v>
                </c:pt>
                <c:pt idx="5">
                  <c:v>147.27272727272728</c:v>
                </c:pt>
                <c:pt idx="6">
                  <c:v>139.43661971830986</c:v>
                </c:pt>
                <c:pt idx="7">
                  <c:v>132.08191126279866</c:v>
                </c:pt>
                <c:pt idx="8">
                  <c:v>125.16556291390725</c:v>
                </c:pt>
                <c:pt idx="9">
                  <c:v>118.64951768488746</c:v>
                </c:pt>
                <c:pt idx="10">
                  <c:v>112.5</c:v>
                </c:pt>
                <c:pt idx="11">
                  <c:v>106.68693009118542</c:v>
                </c:pt>
                <c:pt idx="12">
                  <c:v>101.18343195266274</c:v>
                </c:pt>
                <c:pt idx="13">
                  <c:v>95.965417867435136</c:v>
                </c:pt>
                <c:pt idx="14">
                  <c:v>91.011235955056179</c:v>
                </c:pt>
                <c:pt idx="15">
                  <c:v>86.301369863013704</c:v>
                </c:pt>
                <c:pt idx="16">
                  <c:v>81.818181818181827</c:v>
                </c:pt>
                <c:pt idx="17">
                  <c:v>77.545691906005246</c:v>
                </c:pt>
                <c:pt idx="18">
                  <c:v>73.469387755102019</c:v>
                </c:pt>
                <c:pt idx="19">
                  <c:v>69.576059850374065</c:v>
                </c:pt>
                <c:pt idx="20">
                  <c:v>65.853658536585371</c:v>
                </c:pt>
                <c:pt idx="21">
                  <c:v>62.291169451073969</c:v>
                </c:pt>
                <c:pt idx="22">
                  <c:v>58.878504672897208</c:v>
                </c:pt>
                <c:pt idx="23">
                  <c:v>55.606407322654448</c:v>
                </c:pt>
                <c:pt idx="24">
                  <c:v>52.46636771300448</c:v>
                </c:pt>
                <c:pt idx="25">
                  <c:v>49.450549450549453</c:v>
                </c:pt>
                <c:pt idx="26">
                  <c:v>46.551724137931018</c:v>
                </c:pt>
                <c:pt idx="27">
                  <c:v>43.763213530655406</c:v>
                </c:pt>
                <c:pt idx="28">
                  <c:v>41.078838174273855</c:v>
                </c:pt>
                <c:pt idx="29">
                  <c:v>38.492871690427691</c:v>
                </c:pt>
                <c:pt idx="30">
                  <c:v>36</c:v>
                </c:pt>
                <c:pt idx="31">
                  <c:v>33.595284872298613</c:v>
                </c:pt>
                <c:pt idx="32">
                  <c:v>31.274131274131282</c:v>
                </c:pt>
                <c:pt idx="33">
                  <c:v>29.032258064516125</c:v>
                </c:pt>
                <c:pt idx="34">
                  <c:v>26.865671641791057</c:v>
                </c:pt>
                <c:pt idx="35">
                  <c:v>24.770642201834864</c:v>
                </c:pt>
                <c:pt idx="36">
                  <c:v>22.743682310469303</c:v>
                </c:pt>
                <c:pt idx="37">
                  <c:v>20.781527531083459</c:v>
                </c:pt>
                <c:pt idx="38">
                  <c:v>18.881118881118876</c:v>
                </c:pt>
                <c:pt idx="39">
                  <c:v>17.039586919105002</c:v>
                </c:pt>
                <c:pt idx="40">
                  <c:v>15.254237288135593</c:v>
                </c:pt>
                <c:pt idx="41">
                  <c:v>13.522537562604329</c:v>
                </c:pt>
                <c:pt idx="42">
                  <c:v>11.842105263157874</c:v>
                </c:pt>
                <c:pt idx="43">
                  <c:v>10.210696920583464</c:v>
                </c:pt>
                <c:pt idx="44">
                  <c:v>8.6261980830671021</c:v>
                </c:pt>
                <c:pt idx="45">
                  <c:v>7.0866141732283463</c:v>
                </c:pt>
                <c:pt idx="46">
                  <c:v>5.5900621118012328</c:v>
                </c:pt>
                <c:pt idx="47">
                  <c:v>4.1347626339969192</c:v>
                </c:pt>
                <c:pt idx="48">
                  <c:v>2.7190332326283944</c:v>
                </c:pt>
                <c:pt idx="49">
                  <c:v>1.3412816691505303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482288"/>
        <c:axId val="389479544"/>
      </c:barChart>
      <c:catAx>
        <c:axId val="38948228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9479544"/>
        <c:crosses val="autoZero"/>
        <c:auto val="1"/>
        <c:lblAlgn val="ctr"/>
        <c:lblOffset val="100"/>
        <c:noMultiLvlLbl val="0"/>
      </c:catAx>
      <c:valAx>
        <c:axId val="38947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948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'Grafik Abkühlungsgesetz'!$B$13:$B$112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'Grafik Abkühlungsgesetz'!$C$13:$C$112</c:f>
              <c:numCache>
                <c:formatCode>_-* #\ ##0.000000000000000\ _€_-;\-* #\ ##0.000000000000000\ _€_-;_-* "-"???????????????\ _€_-;_-@_-</c:formatCode>
                <c:ptCount val="100"/>
                <c:pt idx="0">
                  <c:v>39.809834704727926</c:v>
                </c:pt>
                <c:pt idx="1">
                  <c:v>39.621115923036889</c:v>
                </c:pt>
                <c:pt idx="2">
                  <c:v>39.433832651859603</c:v>
                </c:pt>
                <c:pt idx="3">
                  <c:v>39.247973971824834</c:v>
                </c:pt>
                <c:pt idx="4">
                  <c:v>39.063529046620758</c:v>
                </c:pt>
                <c:pt idx="5">
                  <c:v>38.880487122363213</c:v>
                </c:pt>
                <c:pt idx="6">
                  <c:v>38.698837526968603</c:v>
                </c:pt>
                <c:pt idx="7">
                  <c:v>38.518569669531772</c:v>
                </c:pt>
                <c:pt idx="8">
                  <c:v>38.339673039708444</c:v>
                </c:pt>
                <c:pt idx="9">
                  <c:v>38.162137207102447</c:v>
                </c:pt>
                <c:pt idx="10">
                  <c:v>37.985951820657611</c:v>
                </c:pt>
                <c:pt idx="11">
                  <c:v>37.81110660805421</c:v>
                </c:pt>
                <c:pt idx="12">
                  <c:v>37.637591375110077</c:v>
                </c:pt>
                <c:pt idx="13">
                  <c:v>37.465396005186221</c:v>
                </c:pt>
                <c:pt idx="14">
                  <c:v>37.29451045859701</c:v>
                </c:pt>
                <c:pt idx="15">
                  <c:v>37.124924772024798</c:v>
                </c:pt>
                <c:pt idx="16">
                  <c:v>36.956629057939011</c:v>
                </c:pt>
                <c:pt idx="17">
                  <c:v>36.789613504019719</c:v>
                </c:pt>
                <c:pt idx="18">
                  <c:v>36.62386837258547</c:v>
                </c:pt>
                <c:pt idx="19">
                  <c:v>36.45938400002558</c:v>
                </c:pt>
                <c:pt idx="20">
                  <c:v>36.296150796236716</c:v>
                </c:pt>
                <c:pt idx="21">
                  <c:v>36.134159244063717</c:v>
                </c:pt>
                <c:pt idx="22">
                  <c:v>35.973399898744745</c:v>
                </c:pt>
                <c:pt idx="23">
                  <c:v>35.813863387360584</c:v>
                </c:pt>
                <c:pt idx="24">
                  <c:v>35.655540408288182</c:v>
                </c:pt>
                <c:pt idx="25">
                  <c:v>35.498421730658322</c:v>
                </c:pt>
                <c:pt idx="26">
                  <c:v>35.342498193817441</c:v>
                </c:pt>
                <c:pt idx="27">
                  <c:v>35.187760706793483</c:v>
                </c:pt>
                <c:pt idx="28">
                  <c:v>35.034200247765909</c:v>
                </c:pt>
                <c:pt idx="29">
                  <c:v>34.881807863539663</c:v>
                </c:pt>
                <c:pt idx="30">
                  <c:v>34.730574669023156</c:v>
                </c:pt>
                <c:pt idx="31">
                  <c:v>34.58049184671026</c:v>
                </c:pt>
                <c:pt idx="32">
                  <c:v>34.431550646166173</c:v>
                </c:pt>
                <c:pt idx="33">
                  <c:v>34.283742383517279</c:v>
                </c:pt>
                <c:pt idx="34">
                  <c:v>34.137058440944791</c:v>
                </c:pt>
                <c:pt idx="35">
                  <c:v>33.991490266182339</c:v>
                </c:pt>
                <c:pt idx="36">
                  <c:v>33.847029372017332</c:v>
                </c:pt>
                <c:pt idx="37">
                  <c:v>33.703667335796084</c:v>
                </c:pt>
                <c:pt idx="38">
                  <c:v>33.561395798932793</c:v>
                </c:pt>
                <c:pt idx="39">
                  <c:v>33.420206466422158</c:v>
                </c:pt>
                <c:pt idx="40">
                  <c:v>33.280091106355769</c:v>
                </c:pt>
                <c:pt idx="41">
                  <c:v>33.14104154944215</c:v>
                </c:pt>
                <c:pt idx="42">
                  <c:v>33.003049688530446</c:v>
                </c:pt>
                <c:pt idx="43">
                  <c:v>32.866107478137756</c:v>
                </c:pt>
                <c:pt idx="44">
                  <c:v>32.73020693398005</c:v>
                </c:pt>
                <c:pt idx="45">
                  <c:v>32.595340132506635</c:v>
                </c:pt>
                <c:pt idx="46">
                  <c:v>32.461499210438213</c:v>
                </c:pt>
                <c:pt idx="47">
                  <c:v>32.328676364308372</c:v>
                </c:pt>
                <c:pt idx="48">
                  <c:v>32.196863850008654</c:v>
                </c:pt>
                <c:pt idx="49">
                  <c:v>32.066053982337031</c:v>
                </c:pt>
                <c:pt idx="50">
                  <c:v>31.936239134549822</c:v>
                </c:pt>
                <c:pt idx="51">
                  <c:v>31.807411737917018</c:v>
                </c:pt>
                <c:pt idx="52">
                  <c:v>31.679564281281007</c:v>
                </c:pt>
                <c:pt idx="53">
                  <c:v>31.552689310618632</c:v>
                </c:pt>
                <c:pt idx="54">
                  <c:v>31.426779428606604</c:v>
                </c:pt>
                <c:pt idx="55">
                  <c:v>31.3018272941902</c:v>
                </c:pt>
                <c:pt idx="56">
                  <c:v>31.177825622155236</c:v>
                </c:pt>
                <c:pt idx="57">
                  <c:v>31.054767182703348</c:v>
                </c:pt>
                <c:pt idx="58">
                  <c:v>30.93264480103042</c:v>
                </c:pt>
                <c:pt idx="59">
                  <c:v>30.8114513569083</c:v>
                </c:pt>
                <c:pt idx="60">
                  <c:v>30.691179784269643</c:v>
                </c:pt>
                <c:pt idx="61">
                  <c:v>30.571823070795926</c:v>
                </c:pt>
                <c:pt idx="62">
                  <c:v>30.453374257508631</c:v>
                </c:pt>
                <c:pt idx="63">
                  <c:v>30.335826438363473</c:v>
                </c:pt>
                <c:pt idx="64">
                  <c:v>30.219172759847766</c:v>
                </c:pt>
                <c:pt idx="65">
                  <c:v>30.103406420580839</c:v>
                </c:pt>
                <c:pt idx="66">
                  <c:v>29.988520670917485</c:v>
                </c:pt>
                <c:pt idx="67">
                  <c:v>29.874508812554421</c:v>
                </c:pt>
                <c:pt idx="68">
                  <c:v>29.761364198139763</c:v>
                </c:pt>
                <c:pt idx="69">
                  <c:v>29.649080230885446</c:v>
                </c:pt>
                <c:pt idx="70">
                  <c:v>29.537650364182625</c:v>
                </c:pt>
                <c:pt idx="71">
                  <c:v>29.427068101219945</c:v>
                </c:pt>
                <c:pt idx="72">
                  <c:v>29.317326994604795</c:v>
                </c:pt>
                <c:pt idx="73">
                  <c:v>29.20842064598736</c:v>
                </c:pt>
                <c:pt idx="74">
                  <c:v>29.100342705687599</c:v>
                </c:pt>
                <c:pt idx="75">
                  <c:v>28.993086872325019</c:v>
                </c:pt>
                <c:pt idx="76">
                  <c:v>28.886646892451282</c:v>
                </c:pt>
                <c:pt idx="77">
                  <c:v>28.781016560185599</c:v>
                </c:pt>
                <c:pt idx="78">
                  <c:v>28.676189716852917</c:v>
                </c:pt>
                <c:pt idx="79">
                  <c:v>28.572160250624833</c:v>
                </c:pt>
                <c:pt idx="80">
                  <c:v>28.468922096163233</c:v>
                </c:pt>
                <c:pt idx="81">
                  <c:v>28.366469234266695</c:v>
                </c:pt>
                <c:pt idx="82">
                  <c:v>28.264795691519517</c:v>
                </c:pt>
                <c:pt idx="83">
                  <c:v>28.163895539943457</c:v>
                </c:pt>
                <c:pt idx="84">
                  <c:v>28.063762896652094</c:v>
                </c:pt>
                <c:pt idx="85">
                  <c:v>27.964391923507847</c:v>
                </c:pt>
                <c:pt idx="86">
                  <c:v>27.865776826781577</c:v>
                </c:pt>
                <c:pt idx="87">
                  <c:v>27.767911856814795</c:v>
                </c:pt>
                <c:pt idx="88">
                  <c:v>27.670791307684439</c:v>
                </c:pt>
                <c:pt idx="89">
                  <c:v>27.574409516870173</c:v>
                </c:pt>
                <c:pt idx="90">
                  <c:v>27.478760864924269</c:v>
                </c:pt>
                <c:pt idx="91">
                  <c:v>27.383839775143951</c:v>
                </c:pt>
                <c:pt idx="92">
                  <c:v>27.289640713246257</c:v>
                </c:pt>
                <c:pt idx="93">
                  <c:v>27.19615818704537</c:v>
                </c:pt>
                <c:pt idx="94">
                  <c:v>27.103386746132397</c:v>
                </c:pt>
                <c:pt idx="95">
                  <c:v>27.011320981557581</c:v>
                </c:pt>
                <c:pt idx="96">
                  <c:v>26.919955525514958</c:v>
                </c:pt>
                <c:pt idx="97">
                  <c:v>26.82928505102938</c:v>
                </c:pt>
                <c:pt idx="98">
                  <c:v>26.739304271645921</c:v>
                </c:pt>
                <c:pt idx="99">
                  <c:v>26.650007941121668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480328"/>
        <c:axId val="389486600"/>
      </c:lineChart>
      <c:catAx>
        <c:axId val="38948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9486600"/>
        <c:crosses val="autoZero"/>
        <c:auto val="1"/>
        <c:lblAlgn val="ctr"/>
        <c:lblOffset val="100"/>
        <c:noMultiLvlLbl val="0"/>
      </c:catAx>
      <c:valAx>
        <c:axId val="38948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948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12</xdr:row>
      <xdr:rowOff>9525</xdr:rowOff>
    </xdr:from>
    <xdr:to>
      <xdr:col>6</xdr:col>
      <xdr:colOff>990295</xdr:colOff>
      <xdr:row>13</xdr:row>
      <xdr:rowOff>171396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0" y="2295525"/>
          <a:ext cx="2438095" cy="4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6</xdr:row>
      <xdr:rowOff>14286</xdr:rowOff>
    </xdr:from>
    <xdr:to>
      <xdr:col>13</xdr:col>
      <xdr:colOff>457200</xdr:colOff>
      <xdr:row>31</xdr:row>
      <xdr:rowOff>19049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314325</xdr:colOff>
      <xdr:row>2</xdr:row>
      <xdr:rowOff>71437</xdr:rowOff>
    </xdr:from>
    <xdr:ext cx="1442253" cy="3561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7286625" y="519112"/>
              <a:ext cx="1442253" cy="3561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de-A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  <m:r>
                          <a:rPr lang="de-A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ctrlP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A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A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de-A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A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A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de-A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de-A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de-A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de-A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de-AT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7286625" y="519112"/>
              <a:ext cx="1442253" cy="3561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AT" sz="1100" b="0" i="0">
                  <a:latin typeface="Cambria Math" panose="02040503050406030204" pitchFamily="18" charset="0"/>
                </a:rPr>
                <a:t>𝑚_1=(−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𝑚_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𝑚∗(𝑇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2−𝑇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 ))/(𝑇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_1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−𝑇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2 )</a:t>
              </a:r>
              <a:endParaRPr lang="de-AT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419100</xdr:colOff>
      <xdr:row>16</xdr:row>
      <xdr:rowOff>61912</xdr:rowOff>
    </xdr:from>
    <xdr:ext cx="65" cy="172227"/>
    <xdr:sp macro="" textlink="">
      <xdr:nvSpPr>
        <xdr:cNvPr id="3" name="Textfeld 2"/>
        <xdr:cNvSpPr txBox="1"/>
      </xdr:nvSpPr>
      <xdr:spPr>
        <a:xfrm>
          <a:off x="8582025" y="3214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5</xdr:col>
      <xdr:colOff>495300</xdr:colOff>
      <xdr:row>3</xdr:row>
      <xdr:rowOff>147637</xdr:rowOff>
    </xdr:from>
    <xdr:ext cx="1400512" cy="3561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4848225" y="823912"/>
              <a:ext cx="1400512" cy="3561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de-A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A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AT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de-A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de-A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ctrlP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A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A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de-A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A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A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de-A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de-A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A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de-A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de-A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de-AT" sz="11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4848225" y="823912"/>
              <a:ext cx="1400512" cy="3561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AT" sz="1100" b="0" i="0">
                  <a:latin typeface="Cambria Math" panose="02040503050406030204" pitchFamily="18" charset="0"/>
                </a:rPr>
                <a:t>𝑚_2=(−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𝑚_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1∗(𝑇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1−𝑇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 ))/(𝑇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_2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−𝑇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de-A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 )</a:t>
              </a:r>
              <a:endParaRPr lang="de-AT" sz="1100"/>
            </a:p>
          </xdr:txBody>
        </xdr:sp>
      </mc:Fallback>
    </mc:AlternateContent>
    <xdr:clientData/>
  </xdr:oneCellAnchor>
  <xdr:twoCellAnchor>
    <xdr:from>
      <xdr:col>5</xdr:col>
      <xdr:colOff>581024</xdr:colOff>
      <xdr:row>7</xdr:row>
      <xdr:rowOff>90487</xdr:rowOff>
    </xdr:from>
    <xdr:to>
      <xdr:col>16</xdr:col>
      <xdr:colOff>400049</xdr:colOff>
      <xdr:row>31</xdr:row>
      <xdr:rowOff>161925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10</xdr:row>
      <xdr:rowOff>109537</xdr:rowOff>
    </xdr:from>
    <xdr:ext cx="1828800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4667250" y="2090737"/>
              <a:ext cx="182880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𝑚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∗∆</m:t>
                    </m:r>
                    <m:r>
                      <a:rPr lang="de-AT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𝑇</m:t>
                    </m:r>
                  </m:oMath>
                </m:oMathPara>
              </a14:m>
              <a:endParaRPr lang="de-AT" sz="20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4667250" y="2090737"/>
              <a:ext cx="182880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e-AT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de-AT" sz="2000" b="0" i="0">
                  <a:latin typeface="Cambria Math" panose="02040503050406030204" pitchFamily="18" charset="0"/>
                </a:rPr>
                <a:t>𝑄=𝑐∗𝑚∗</a:t>
              </a:r>
              <a:r>
                <a:rPr lang="de-AT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∆𝑇</a:t>
              </a:r>
              <a:endParaRPr lang="de-AT" sz="2000"/>
            </a:p>
          </xdr:txBody>
        </xdr:sp>
      </mc:Fallback>
    </mc:AlternateContent>
    <xdr:clientData/>
  </xdr:oneCellAnchor>
  <xdr:oneCellAnchor>
    <xdr:from>
      <xdr:col>3</xdr:col>
      <xdr:colOff>752475</xdr:colOff>
      <xdr:row>12</xdr:row>
      <xdr:rowOff>57150</xdr:rowOff>
    </xdr:from>
    <xdr:ext cx="1817870" cy="5782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4648200" y="2152650"/>
              <a:ext cx="1817870" cy="5782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2000" b="0" i="1">
                        <a:latin typeface="Cambria Math" panose="02040503050406030204" pitchFamily="18" charset="0"/>
                      </a:rPr>
                      <m:t>𝑊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AT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∗∆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m:rPr>
                            <m:nor/>
                          </m:rPr>
                          <a:rPr lang="de-AT" sz="2000">
                            <a:effectLst/>
                          </a:rPr>
                          <m:t> </m:t>
                        </m:r>
                      </m:num>
                      <m:den>
                        <m:r>
                          <a:rPr lang="de-AT" sz="2000" b="0" i="1">
                            <a:latin typeface="Cambria Math" panose="02040503050406030204" pitchFamily="18" charset="0"/>
                          </a:rPr>
                          <m:t>3600</m:t>
                        </m:r>
                      </m:den>
                    </m:f>
                  </m:oMath>
                </m:oMathPara>
              </a14:m>
              <a:endParaRPr lang="de-AT" sz="20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4648200" y="2152650"/>
              <a:ext cx="1817870" cy="5782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AT" sz="2000" b="0" i="0">
                  <a:latin typeface="Cambria Math" panose="02040503050406030204" pitchFamily="18" charset="0"/>
                </a:rPr>
                <a:t>𝑊=(</a:t>
              </a:r>
              <a:r>
                <a:rPr lang="de-AT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𝑚∗∆𝑇∗𝑐"</a:t>
              </a:r>
              <a:r>
                <a:rPr lang="de-AT" sz="2000" i="0">
                  <a:effectLst/>
                </a:rPr>
                <a:t> </a:t>
              </a:r>
              <a:r>
                <a:rPr lang="de-AT" sz="2000" b="0" i="0">
                  <a:effectLst/>
                  <a:latin typeface="Cambria Math" panose="02040503050406030204" pitchFamily="18" charset="0"/>
                </a:rPr>
                <a:t>" )/</a:t>
              </a:r>
              <a:r>
                <a:rPr lang="de-AT" sz="2000" b="0" i="0">
                  <a:latin typeface="Cambria Math" panose="02040503050406030204" pitchFamily="18" charset="0"/>
                </a:rPr>
                <a:t>3600</a:t>
              </a:r>
              <a:endParaRPr lang="de-AT" sz="2000"/>
            </a:p>
          </xdr:txBody>
        </xdr:sp>
      </mc:Fallback>
    </mc:AlternateContent>
    <xdr:clientData/>
  </xdr:oneCellAnchor>
  <xdr:oneCellAnchor>
    <xdr:from>
      <xdr:col>3</xdr:col>
      <xdr:colOff>742950</xdr:colOff>
      <xdr:row>16</xdr:row>
      <xdr:rowOff>23812</xdr:rowOff>
    </xdr:from>
    <xdr:ext cx="986039" cy="5761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4638675" y="2881312"/>
              <a:ext cx="986039" cy="5761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r>
                      <a:rPr lang="de-AT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𝑡</m:t>
                    </m:r>
                    <m:r>
                      <a:rPr lang="de-AT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AT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AT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de-AT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𝑄</m:t>
                        </m:r>
                      </m:num>
                      <m:den>
                        <m:r>
                          <a:rPr lang="de-AT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lang="de-AT" sz="20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4638675" y="2881312"/>
              <a:ext cx="986039" cy="5761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AT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de-AT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𝑡=∆𝑄/𝑃</a:t>
              </a:r>
              <a:endParaRPr lang="de-AT" sz="20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542924</xdr:colOff>
          <xdr:row>22</xdr:row>
          <xdr:rowOff>19050</xdr:rowOff>
        </xdr:from>
        <xdr:to>
          <xdr:col>8</xdr:col>
          <xdr:colOff>180974</xdr:colOff>
          <xdr:row>23</xdr:row>
          <xdr:rowOff>66675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Berechnung Temperaturabnahme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10</xdr:col>
      <xdr:colOff>257175</xdr:colOff>
      <xdr:row>44</xdr:row>
      <xdr:rowOff>123825</xdr:rowOff>
    </xdr:from>
    <xdr:to>
      <xdr:col>19</xdr:col>
      <xdr:colOff>343869</xdr:colOff>
      <xdr:row>52</xdr:row>
      <xdr:rowOff>124039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7975" y="8867775"/>
          <a:ext cx="6944694" cy="153373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32</xdr:row>
      <xdr:rowOff>0</xdr:rowOff>
    </xdr:from>
    <xdr:to>
      <xdr:col>3</xdr:col>
      <xdr:colOff>247650</xdr:colOff>
      <xdr:row>34</xdr:row>
      <xdr:rowOff>95250</xdr:rowOff>
    </xdr:to>
    <xdr:pic>
      <xdr:nvPicPr>
        <xdr:cNvPr id="5" name="Grafik 4" descr="https://sites.google.com/a/erhard-rainer.com/erhard-rainer/computer/blog/_draft_post-44/Newtonsches%20Abk%C3%BChlungsgesetz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400800"/>
          <a:ext cx="2085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400049</xdr:colOff>
          <xdr:row>35</xdr:row>
          <xdr:rowOff>76200</xdr:rowOff>
        </xdr:from>
        <xdr:to>
          <xdr:col>8</xdr:col>
          <xdr:colOff>571500</xdr:colOff>
          <xdr:row>36</xdr:row>
          <xdr:rowOff>123825</xdr:rowOff>
        </xdr:to>
        <xdr:sp macro="" textlink="">
          <xdr:nvSpPr>
            <xdr:cNvPr id="5128" name="Butto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Berechnung Proportionalitätskonstante</a:t>
              </a:r>
            </a:p>
          </xdr:txBody>
        </xdr:sp>
        <xdr:clientData fPrintsWithSheet="0"/>
      </xdr:twoCellAnchor>
    </mc:Choice>
    <mc:Fallback/>
  </mc:AlternateContent>
  <xdr:oneCellAnchor>
    <xdr:from>
      <xdr:col>2</xdr:col>
      <xdr:colOff>9525</xdr:colOff>
      <xdr:row>45</xdr:row>
      <xdr:rowOff>0</xdr:rowOff>
    </xdr:from>
    <xdr:ext cx="2085975" cy="476250"/>
    <xdr:pic>
      <xdr:nvPicPr>
        <xdr:cNvPr id="11" name="Grafik 10" descr="https://sites.google.com/a/erhard-rainer.com/erhard-rainer/computer/blog/_draft_post-44/Newtonsches%20Abk%C3%BChlungsgesetz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400800"/>
          <a:ext cx="2085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523875</xdr:colOff>
      <xdr:row>71</xdr:row>
      <xdr:rowOff>123825</xdr:rowOff>
    </xdr:from>
    <xdr:to>
      <xdr:col>8</xdr:col>
      <xdr:colOff>723569</xdr:colOff>
      <xdr:row>74</xdr:row>
      <xdr:rowOff>114229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00875" y="14192250"/>
          <a:ext cx="2647619" cy="5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200024</xdr:colOff>
          <xdr:row>7</xdr:row>
          <xdr:rowOff>95250</xdr:rowOff>
        </xdr:from>
        <xdr:to>
          <xdr:col>7</xdr:col>
          <xdr:colOff>390525</xdr:colOff>
          <xdr:row>9</xdr:row>
          <xdr:rowOff>142875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Berechnung der Durchflussmenge bei gegebener Dauer</a:t>
              </a:r>
            </a:p>
          </xdr:txBody>
        </xdr:sp>
        <xdr:clientData fPrintsWithSheet="0"/>
      </xdr:twoCellAnchor>
    </mc:Choice>
    <mc:Fallback/>
  </mc:AlternateContent>
  <xdr:oneCellAnchor>
    <xdr:from>
      <xdr:col>4</xdr:col>
      <xdr:colOff>723900</xdr:colOff>
      <xdr:row>20</xdr:row>
      <xdr:rowOff>128587</xdr:rowOff>
    </xdr:from>
    <xdr:ext cx="1828800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5048250" y="4014787"/>
              <a:ext cx="182880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𝑚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∗∆</m:t>
                    </m:r>
                    <m:r>
                      <a:rPr lang="de-AT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𝑇</m:t>
                    </m:r>
                  </m:oMath>
                </m:oMathPara>
              </a14:m>
              <a:endParaRPr lang="de-AT" sz="20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5048250" y="4014787"/>
              <a:ext cx="182880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e-AT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de-AT" sz="2000" b="0" i="0">
                  <a:latin typeface="Cambria Math" panose="02040503050406030204" pitchFamily="18" charset="0"/>
                </a:rPr>
                <a:t>𝑄=𝑐∗𝑚∗</a:t>
              </a:r>
              <a:r>
                <a:rPr lang="de-AT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∆𝑇</a:t>
              </a:r>
              <a:endParaRPr lang="de-AT" sz="2000"/>
            </a:p>
          </xdr:txBody>
        </xdr:sp>
      </mc:Fallback>
    </mc:AlternateContent>
    <xdr:clientData/>
  </xdr:oneCellAnchor>
  <xdr:oneCellAnchor>
    <xdr:from>
      <xdr:col>4</xdr:col>
      <xdr:colOff>723900</xdr:colOff>
      <xdr:row>23</xdr:row>
      <xdr:rowOff>0</xdr:rowOff>
    </xdr:from>
    <xdr:ext cx="1817870" cy="5782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5305425" y="4505325"/>
              <a:ext cx="1817870" cy="5782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2000" b="0" i="1">
                        <a:latin typeface="Cambria Math" panose="02040503050406030204" pitchFamily="18" charset="0"/>
                      </a:rPr>
                      <m:t>𝑊</m:t>
                    </m:r>
                    <m:r>
                      <a:rPr lang="de-AT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AT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∗∆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m:rPr>
                            <m:nor/>
                          </m:rPr>
                          <a:rPr lang="de-AT" sz="2000">
                            <a:effectLst/>
                          </a:rPr>
                          <m:t> </m:t>
                        </m:r>
                      </m:num>
                      <m:den>
                        <m:r>
                          <a:rPr lang="de-AT" sz="2000" b="0" i="1">
                            <a:latin typeface="Cambria Math" panose="02040503050406030204" pitchFamily="18" charset="0"/>
                          </a:rPr>
                          <m:t>3600</m:t>
                        </m:r>
                      </m:den>
                    </m:f>
                  </m:oMath>
                </m:oMathPara>
              </a14:m>
              <a:endParaRPr lang="de-AT" sz="20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5305425" y="4505325"/>
              <a:ext cx="1817870" cy="5782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AT" sz="2000" b="0" i="0">
                  <a:latin typeface="Cambria Math" panose="02040503050406030204" pitchFamily="18" charset="0"/>
                </a:rPr>
                <a:t>𝑊=(</a:t>
              </a:r>
              <a:r>
                <a:rPr lang="de-AT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𝑚∗∆𝑇∗𝑐"</a:t>
              </a:r>
              <a:r>
                <a:rPr lang="de-AT" sz="2000" i="0">
                  <a:effectLst/>
                </a:rPr>
                <a:t> </a:t>
              </a:r>
              <a:r>
                <a:rPr lang="de-AT" sz="2000" b="0" i="0">
                  <a:effectLst/>
                  <a:latin typeface="Cambria Math" panose="02040503050406030204" pitchFamily="18" charset="0"/>
                </a:rPr>
                <a:t>" )/</a:t>
              </a:r>
              <a:r>
                <a:rPr lang="de-AT" sz="2000" b="0" i="0">
                  <a:latin typeface="Cambria Math" panose="02040503050406030204" pitchFamily="18" charset="0"/>
                </a:rPr>
                <a:t>3600</a:t>
              </a:r>
              <a:endParaRPr lang="de-AT" sz="2000"/>
            </a:p>
          </xdr:txBody>
        </xdr:sp>
      </mc:Fallback>
    </mc:AlternateContent>
    <xdr:clientData/>
  </xdr:oneCellAnchor>
  <xdr:oneCellAnchor>
    <xdr:from>
      <xdr:col>4</xdr:col>
      <xdr:colOff>714375</xdr:colOff>
      <xdr:row>26</xdr:row>
      <xdr:rowOff>100012</xdr:rowOff>
    </xdr:from>
    <xdr:ext cx="972254" cy="5761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5372100" y="5176837"/>
              <a:ext cx="972254" cy="5761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2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r>
                      <a:rPr lang="de-AT" sz="2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</m:t>
                    </m:r>
                    <m:r>
                      <a:rPr lang="de-AT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AT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AT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de-AT" sz="2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de-AT" sz="2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den>
                    </m:f>
                  </m:oMath>
                </m:oMathPara>
              </a14:m>
              <a:endParaRPr lang="de-AT" sz="20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5372100" y="5176837"/>
              <a:ext cx="972254" cy="5761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AT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∆𝑄</a:t>
              </a:r>
              <a:r>
                <a:rPr lang="de-AT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=𝑃/</a:t>
              </a:r>
              <a:r>
                <a:rPr lang="de-AT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de-AT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de-AT" sz="20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29</xdr:row>
          <xdr:rowOff>114300</xdr:rowOff>
        </xdr:from>
        <xdr:to>
          <xdr:col>2</xdr:col>
          <xdr:colOff>533400</xdr:colOff>
          <xdr:row>32</xdr:row>
          <xdr:rowOff>95250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Berechnung der Durchflussmenge bei gegebener max. Leistungsaufnahme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29</xdr:row>
          <xdr:rowOff>114300</xdr:rowOff>
        </xdr:from>
        <xdr:to>
          <xdr:col>6</xdr:col>
          <xdr:colOff>95250</xdr:colOff>
          <xdr:row>32</xdr:row>
          <xdr:rowOff>95250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Berechnung der Ausgangstemperatur bei gegebener Leistungsaufnahme und Durchfulssmenge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76200</xdr:rowOff>
    </xdr:from>
    <xdr:to>
      <xdr:col>3</xdr:col>
      <xdr:colOff>1066800</xdr:colOff>
      <xdr:row>4</xdr:row>
      <xdr:rowOff>171450</xdr:rowOff>
    </xdr:to>
    <xdr:pic>
      <xdr:nvPicPr>
        <xdr:cNvPr id="2" name="Grafik 1" descr="https://sites.google.com/a/erhard-rainer.com/erhard-rainer/computer/blog/_draft_post-44/Newtonsches%20Abk%C3%BChlungsgesetz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57200"/>
          <a:ext cx="2085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</xdr:row>
          <xdr:rowOff>1</xdr:rowOff>
        </xdr:from>
        <xdr:to>
          <xdr:col>6</xdr:col>
          <xdr:colOff>247650</xdr:colOff>
          <xdr:row>9</xdr:row>
          <xdr:rowOff>171451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Proportionaltätskonstante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</xdr:row>
          <xdr:rowOff>0</xdr:rowOff>
        </xdr:from>
        <xdr:to>
          <xdr:col>6</xdr:col>
          <xdr:colOff>247650</xdr:colOff>
          <xdr:row>8</xdr:row>
          <xdr:rowOff>171450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Dauer in Minuten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</xdr:row>
          <xdr:rowOff>0</xdr:rowOff>
        </xdr:from>
        <xdr:to>
          <xdr:col>6</xdr:col>
          <xdr:colOff>247650</xdr:colOff>
          <xdr:row>7</xdr:row>
          <xdr:rowOff>171450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T0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0</xdr:rowOff>
        </xdr:from>
        <xdr:to>
          <xdr:col>6</xdr:col>
          <xdr:colOff>247650</xdr:colOff>
          <xdr:row>6</xdr:row>
          <xdr:rowOff>171450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Umgebungstemperatur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76200</xdr:rowOff>
    </xdr:from>
    <xdr:to>
      <xdr:col>3</xdr:col>
      <xdr:colOff>733425</xdr:colOff>
      <xdr:row>4</xdr:row>
      <xdr:rowOff>171450</xdr:rowOff>
    </xdr:to>
    <xdr:pic>
      <xdr:nvPicPr>
        <xdr:cNvPr id="2" name="Grafik 1" descr="https://sites.google.com/a/erhard-rainer.com/erhard-rainer/computer/blog/_draft_post-44/Newtonsches%20Abk%C3%BChlungsgesetz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561975"/>
          <a:ext cx="2085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390524</xdr:colOff>
      <xdr:row>2</xdr:row>
      <xdr:rowOff>176211</xdr:rowOff>
    </xdr:from>
    <xdr:to>
      <xdr:col>16</xdr:col>
      <xdr:colOff>304799</xdr:colOff>
      <xdr:row>29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11</xdr:row>
          <xdr:rowOff>142876</xdr:rowOff>
        </xdr:from>
        <xdr:to>
          <xdr:col>14</xdr:col>
          <xdr:colOff>695325</xdr:colOff>
          <xdr:row>13</xdr:row>
          <xdr:rowOff>66676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Finde Lösung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13</xdr:row>
          <xdr:rowOff>161925</xdr:rowOff>
        </xdr:from>
        <xdr:to>
          <xdr:col>14</xdr:col>
          <xdr:colOff>685799</xdr:colOff>
          <xdr:row>15</xdr:row>
          <xdr:rowOff>85725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Weitersuchen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elle1" displayName="Tabelle1" ref="B2:D22" totalsRowShown="0">
  <autoFilter ref="B2:D22"/>
  <sortState ref="B3:D22">
    <sortCondition ref="B12"/>
  </sortState>
  <tableColumns count="3">
    <tableColumn id="1" name="Material"/>
    <tableColumn id="2" name="J/(kg*K)" dataDxfId="1" dataCellStyle="Komma"/>
    <tableColumn id="3" name="kJ*kg^(−1)*K^(−1)" dataDxfId="0">
      <calculatedColumnFormula>C3/1000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G14"/>
  <sheetViews>
    <sheetView showGridLines="0" workbookViewId="0">
      <selection activeCell="C9" sqref="C9"/>
    </sheetView>
  </sheetViews>
  <sheetFormatPr baseColWidth="10" defaultRowHeight="15" x14ac:dyDescent="0.25"/>
  <cols>
    <col min="2" max="2" width="26" customWidth="1"/>
    <col min="3" max="7" width="16.7109375" customWidth="1"/>
  </cols>
  <sheetData>
    <row r="2" spans="2:7" ht="20.25" thickBot="1" x14ac:dyDescent="0.35">
      <c r="B2" s="41" t="s">
        <v>0</v>
      </c>
      <c r="C2" s="41"/>
      <c r="D2" s="41"/>
      <c r="E2" s="41"/>
      <c r="F2" s="41"/>
      <c r="G2" s="41"/>
    </row>
    <row r="3" spans="2:7" ht="15.75" thickTop="1" x14ac:dyDescent="0.25"/>
    <row r="4" spans="2:7" x14ac:dyDescent="0.25">
      <c r="B4" t="s">
        <v>1</v>
      </c>
      <c r="D4" t="s">
        <v>2</v>
      </c>
    </row>
    <row r="6" spans="2:7" x14ac:dyDescent="0.25">
      <c r="B6" s="3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2:7" x14ac:dyDescent="0.25">
      <c r="B7" s="4" t="s">
        <v>3</v>
      </c>
      <c r="C7" s="8">
        <v>41.18</v>
      </c>
      <c r="D7" s="8">
        <v>58.82</v>
      </c>
      <c r="E7" s="8"/>
      <c r="F7" s="8"/>
      <c r="G7" s="8"/>
    </row>
    <row r="8" spans="2:7" x14ac:dyDescent="0.25">
      <c r="B8" s="5" t="s">
        <v>32</v>
      </c>
      <c r="C8" s="6" t="s">
        <v>10</v>
      </c>
      <c r="D8" s="6" t="s">
        <v>10</v>
      </c>
      <c r="E8" s="6"/>
      <c r="F8" s="6"/>
      <c r="G8" s="6"/>
    </row>
    <row r="9" spans="2:7" x14ac:dyDescent="0.25">
      <c r="B9" s="5" t="s">
        <v>9</v>
      </c>
      <c r="C9">
        <f>SUMIF(Tabelle1[Material],Mischungstemperatur!C$8,Tabelle1[kJ*kg^(−1)*K^(−1)])</f>
        <v>4.1820000000000004</v>
      </c>
      <c r="D9">
        <f>SUMIF(Tabelle1[Material],Mischungstemperatur!D$8,Tabelle1[kJ*kg^(−1)*K^(−1)])</f>
        <v>4.1820000000000004</v>
      </c>
      <c r="E9">
        <f>SUMIF(Tabelle1[Material],Mischungstemperatur!E$8,Tabelle1[kJ*kg^(−1)*K^(−1)])</f>
        <v>0</v>
      </c>
      <c r="F9">
        <f>SUMIF(Tabelle1[Material],Mischungstemperatur!F$8,Tabelle1[kJ*kg^(−1)*K^(−1)])</f>
        <v>0</v>
      </c>
      <c r="G9">
        <f>SUMIF(Tabelle1[Material],Mischungstemperatur!G$8,Tabelle1[kJ*kg^(−1)*K^(−1)])</f>
        <v>0</v>
      </c>
    </row>
    <row r="10" spans="2:7" x14ac:dyDescent="0.25">
      <c r="B10" s="5" t="s">
        <v>33</v>
      </c>
      <c r="C10" s="8">
        <v>80</v>
      </c>
      <c r="D10" s="8">
        <v>12</v>
      </c>
      <c r="E10" s="8"/>
      <c r="F10" s="8"/>
      <c r="G10" s="8"/>
    </row>
    <row r="13" spans="2:7" ht="21" x14ac:dyDescent="0.35">
      <c r="B13" t="s">
        <v>34</v>
      </c>
      <c r="C13" s="7">
        <f>((C7*C9*C10)+(D7*D9*D10)+(E7*E9*E10)+(F7*F9*F10)+(G7*G9*G10))/((C7*C9)+(D7*D9)+(E7*E9)+(F7*F9)+(G7*G9))</f>
        <v>40.002400000000002</v>
      </c>
      <c r="D13" t="s">
        <v>36</v>
      </c>
    </row>
    <row r="14" spans="2:7" ht="21" x14ac:dyDescent="0.35">
      <c r="B14" t="s">
        <v>35</v>
      </c>
      <c r="C14" s="7">
        <f>SUM(C7:G7)</f>
        <v>100</v>
      </c>
      <c r="D14" t="s">
        <v>3</v>
      </c>
    </row>
  </sheetData>
  <mergeCells count="1">
    <mergeCell ref="B2:G2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Hilfsblatt!$B$3:$B$22</xm:f>
          </x14:formula1>
          <xm:sqref>C8:G8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O36"/>
  <sheetViews>
    <sheetView showGridLines="0" zoomScale="90" zoomScaleNormal="90" workbookViewId="0">
      <selection activeCell="P33" sqref="P33"/>
    </sheetView>
  </sheetViews>
  <sheetFormatPr baseColWidth="10" defaultRowHeight="15" x14ac:dyDescent="0.25"/>
  <cols>
    <col min="1" max="1" width="3" customWidth="1"/>
    <col min="2" max="2" width="25.140625" bestFit="1" customWidth="1"/>
    <col min="3" max="3" width="9.7109375" bestFit="1" customWidth="1"/>
    <col min="4" max="4" width="6.28515625" bestFit="1" customWidth="1"/>
    <col min="5" max="5" width="10" bestFit="1" customWidth="1"/>
    <col min="6" max="6" width="8.85546875" bestFit="1" customWidth="1"/>
    <col min="7" max="7" width="9.42578125" bestFit="1" customWidth="1"/>
    <col min="8" max="8" width="8.85546875" bestFit="1" customWidth="1"/>
    <col min="9" max="9" width="10" bestFit="1" customWidth="1"/>
    <col min="10" max="10" width="8.85546875" bestFit="1" customWidth="1"/>
    <col min="12" max="12" width="3.28515625" customWidth="1"/>
  </cols>
  <sheetData>
    <row r="1" spans="1:15" s="23" customFormat="1" x14ac:dyDescent="0.25"/>
    <row r="2" spans="1:15" ht="23.25" x14ac:dyDescent="0.35">
      <c r="B2" s="46" t="s">
        <v>144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4" spans="1:15" x14ac:dyDescent="0.25">
      <c r="B4" s="44" t="s">
        <v>9</v>
      </c>
      <c r="C4" s="44"/>
      <c r="D4" s="78"/>
      <c r="E4" s="79">
        <f>SUMIF(Tabelle1[Material],Mischungstemperatur!D$8,Tabelle1[kJ*kg^(−1)*K^(−1)])</f>
        <v>4.1820000000000004</v>
      </c>
      <c r="F4" s="79"/>
    </row>
    <row r="5" spans="1:15" x14ac:dyDescent="0.25">
      <c r="B5" s="44" t="s">
        <v>137</v>
      </c>
      <c r="C5" s="44"/>
      <c r="E5" s="79">
        <v>2.42353057376E-4</v>
      </c>
      <c r="F5" s="79"/>
    </row>
    <row r="6" spans="1:15" x14ac:dyDescent="0.25">
      <c r="B6" s="44" t="s">
        <v>104</v>
      </c>
      <c r="C6" s="44"/>
      <c r="E6" s="79">
        <v>20</v>
      </c>
      <c r="F6" s="79"/>
      <c r="G6" t="s">
        <v>46</v>
      </c>
    </row>
    <row r="7" spans="1:15" ht="15.75" thickBot="1" x14ac:dyDescent="0.3"/>
    <row r="8" spans="1:15" ht="20.25" thickBot="1" x14ac:dyDescent="0.35">
      <c r="C8" s="32"/>
      <c r="D8" s="33"/>
      <c r="E8" s="42" t="s">
        <v>138</v>
      </c>
      <c r="F8" s="43"/>
      <c r="G8" s="42" t="s">
        <v>134</v>
      </c>
      <c r="H8" s="43"/>
      <c r="I8" s="42" t="s">
        <v>130</v>
      </c>
      <c r="J8" s="43"/>
      <c r="K8" s="34" t="s">
        <v>135</v>
      </c>
      <c r="M8" s="73" t="s">
        <v>134</v>
      </c>
      <c r="N8" s="74"/>
      <c r="O8" s="75"/>
    </row>
    <row r="9" spans="1:15" ht="16.5" thickTop="1" thickBot="1" x14ac:dyDescent="0.3">
      <c r="C9" s="35" t="s">
        <v>136</v>
      </c>
      <c r="D9" s="36" t="s">
        <v>81</v>
      </c>
      <c r="E9" s="35" t="s">
        <v>67</v>
      </c>
      <c r="F9" s="37" t="s">
        <v>46</v>
      </c>
      <c r="G9" s="35">
        <v>100</v>
      </c>
      <c r="H9" s="37">
        <v>65</v>
      </c>
      <c r="I9" s="35" t="s">
        <v>67</v>
      </c>
      <c r="J9" s="37" t="s">
        <v>46</v>
      </c>
      <c r="K9" s="37"/>
      <c r="M9" s="67"/>
      <c r="N9" s="68" t="s">
        <v>142</v>
      </c>
      <c r="O9" s="69" t="s">
        <v>143</v>
      </c>
    </row>
    <row r="10" spans="1:15" x14ac:dyDescent="0.25">
      <c r="B10" t="s">
        <v>133</v>
      </c>
      <c r="C10" s="51">
        <v>0.16666666666666666</v>
      </c>
      <c r="D10" s="52"/>
      <c r="E10" s="53"/>
      <c r="F10" s="54"/>
      <c r="G10" s="55">
        <v>96</v>
      </c>
      <c r="H10" s="56">
        <v>80</v>
      </c>
      <c r="I10" s="53">
        <v>0</v>
      </c>
      <c r="J10" s="54">
        <v>12</v>
      </c>
      <c r="K10" s="38"/>
      <c r="M10" s="67" t="s">
        <v>33</v>
      </c>
      <c r="N10" s="76">
        <v>65</v>
      </c>
      <c r="O10" s="77">
        <v>80</v>
      </c>
    </row>
    <row r="11" spans="1:15" x14ac:dyDescent="0.25">
      <c r="B11" s="9" t="str">
        <f xml:space="preserve"> CONCATENATE("Abkühlung bis Entnahme ",A12)</f>
        <v>Abkühlung bis Entnahme 1</v>
      </c>
      <c r="C11" s="57"/>
      <c r="D11" s="58">
        <f>(C12-C10)*24*60</f>
        <v>480</v>
      </c>
      <c r="E11" s="30"/>
      <c r="F11" s="31"/>
      <c r="G11" s="30">
        <f>$G$10</f>
        <v>96</v>
      </c>
      <c r="H11" s="31">
        <f>$E$6+(H10-$E$6)*EXP(-$E$5*D11)</f>
        <v>73.410913336431349</v>
      </c>
      <c r="I11" s="30"/>
      <c r="J11" s="31"/>
      <c r="K11" s="39"/>
      <c r="M11" s="67" t="s">
        <v>66</v>
      </c>
      <c r="N11" s="76">
        <v>80</v>
      </c>
      <c r="O11" s="77">
        <v>200</v>
      </c>
    </row>
    <row r="12" spans="1:15" x14ac:dyDescent="0.25">
      <c r="A12">
        <v>1</v>
      </c>
      <c r="B12" t="str">
        <f>CONCATENATE("Entnahme ",A12)</f>
        <v>Entnahme 1</v>
      </c>
      <c r="C12" s="59">
        <v>0.5</v>
      </c>
      <c r="D12" s="60"/>
      <c r="E12" s="26">
        <v>-15</v>
      </c>
      <c r="F12" s="27">
        <v>39</v>
      </c>
      <c r="G12" s="24">
        <f>E12*(J12-F12)/(H11-J12)*-1</f>
        <v>-6.5949190135190223</v>
      </c>
      <c r="H12" s="25">
        <f>H11</f>
        <v>73.410913336431349</v>
      </c>
      <c r="I12" s="24">
        <f>E12-G12</f>
        <v>-8.4050809864809786</v>
      </c>
      <c r="J12" s="25">
        <v>12</v>
      </c>
      <c r="K12" s="39" t="str">
        <f>IF(AND(AND(G12*-1&lt;=$G$10,G12&gt;E12),I12&lt;=0),"ok","nok")</f>
        <v>ok</v>
      </c>
      <c r="M12" s="67"/>
      <c r="N12" s="68"/>
      <c r="O12" s="69"/>
    </row>
    <row r="13" spans="1:15" x14ac:dyDescent="0.25">
      <c r="B13" t="str">
        <f>CONCATENATE("Temp nach Entnahme ",A12)</f>
        <v>Temp nach Entnahme 1</v>
      </c>
      <c r="C13" s="61"/>
      <c r="D13" s="60"/>
      <c r="E13" s="24"/>
      <c r="F13" s="25"/>
      <c r="G13" s="24">
        <f>$G$10</f>
        <v>96</v>
      </c>
      <c r="H13" s="25">
        <f>(($G$10+G12)*H12*$E$4+G12*J12*$E$4*-1)/(($G$10+G12)*$E$4+G12*-1*$E$4)</f>
        <v>69.192163336431349</v>
      </c>
      <c r="I13" s="64">
        <f>G12</f>
        <v>-6.5949190135190223</v>
      </c>
      <c r="J13" s="25"/>
      <c r="K13" s="39"/>
      <c r="M13" s="67"/>
      <c r="N13" s="68"/>
      <c r="O13" s="69"/>
    </row>
    <row r="14" spans="1:15" x14ac:dyDescent="0.25">
      <c r="B14" s="9" t="str">
        <f xml:space="preserve"> CONCATENATE("Abkühlung bis Entnahme ",A15)</f>
        <v>Abkühlung bis Entnahme 2</v>
      </c>
      <c r="C14" s="57"/>
      <c r="D14" s="58">
        <f>(C15-C12)*24*60</f>
        <v>239.99999999999994</v>
      </c>
      <c r="E14" s="30"/>
      <c r="F14" s="31"/>
      <c r="G14" s="30">
        <f>$G$10</f>
        <v>96</v>
      </c>
      <c r="H14" s="31">
        <f>$E$6+(H13-$E$6)*EXP(-$E$5*D14)</f>
        <v>66.412536004895301</v>
      </c>
      <c r="I14" s="30"/>
      <c r="J14" s="31"/>
      <c r="K14" s="39"/>
      <c r="M14" s="67"/>
      <c r="N14" s="68"/>
      <c r="O14" s="69"/>
    </row>
    <row r="15" spans="1:15" x14ac:dyDescent="0.25">
      <c r="A15">
        <v>2</v>
      </c>
      <c r="B15" t="str">
        <f>CONCATENATE("Entnahme ",A15)</f>
        <v>Entnahme 2</v>
      </c>
      <c r="C15" s="59">
        <v>0.66666666666666663</v>
      </c>
      <c r="D15" s="60"/>
      <c r="E15" s="26">
        <v>-5</v>
      </c>
      <c r="F15" s="27">
        <v>32</v>
      </c>
      <c r="G15" s="24">
        <f>E15*(J15-F15)/(H14-J15)*-1</f>
        <v>-1.8378117864420684</v>
      </c>
      <c r="H15" s="25">
        <f>H14</f>
        <v>66.412536004895301</v>
      </c>
      <c r="I15" s="24">
        <f>E15-G15</f>
        <v>-3.1621882135579318</v>
      </c>
      <c r="J15" s="25">
        <v>12</v>
      </c>
      <c r="K15" s="39" t="str">
        <f>IF(AND(AND(G15*-1&lt;=$G$10,G15&gt;E15),I15&lt;=0),"ok","nok")</f>
        <v>ok</v>
      </c>
      <c r="M15" s="67"/>
      <c r="N15" s="68"/>
      <c r="O15" s="69"/>
    </row>
    <row r="16" spans="1:15" ht="15.75" thickBot="1" x14ac:dyDescent="0.3">
      <c r="B16" t="str">
        <f>CONCATENATE("Temp nach Entnahme ",A15)</f>
        <v>Temp nach Entnahme 2</v>
      </c>
      <c r="C16" s="61"/>
      <c r="D16" s="60"/>
      <c r="E16" s="24"/>
      <c r="F16" s="25"/>
      <c r="G16" s="24">
        <f>$G$10</f>
        <v>96</v>
      </c>
      <c r="H16" s="25">
        <f>(($G$10+G15)*H15*$E$4+G15*J15*$E$4*-1)/(($G$10+G15)*$E$4+G15*-1*$E$4)</f>
        <v>65.37086933822863</v>
      </c>
      <c r="I16" s="64">
        <f>G15</f>
        <v>-1.8378117864420684</v>
      </c>
      <c r="J16" s="25"/>
      <c r="K16" s="39"/>
      <c r="M16" s="70"/>
      <c r="N16" s="71"/>
      <c r="O16" s="72"/>
    </row>
    <row r="17" spans="1:11" x14ac:dyDescent="0.25">
      <c r="B17" s="9" t="str">
        <f xml:space="preserve"> CONCATENATE("Abkühlung bis Entnahme ",A18)</f>
        <v>Abkühlung bis Entnahme 3</v>
      </c>
      <c r="C17" s="57"/>
      <c r="D17" s="58">
        <f>(C18-C15)*24*60</f>
        <v>240.00000000000011</v>
      </c>
      <c r="E17" s="30"/>
      <c r="F17" s="31"/>
      <c r="G17" s="30">
        <f>$G$10</f>
        <v>96</v>
      </c>
      <c r="H17" s="31">
        <f>$E$6+(H16-$E$6)*EXP(-$E$5*D17)</f>
        <v>62.80716609945091</v>
      </c>
      <c r="I17" s="30"/>
      <c r="J17" s="31"/>
      <c r="K17" s="39"/>
    </row>
    <row r="18" spans="1:11" x14ac:dyDescent="0.25">
      <c r="A18">
        <f>A15+1</f>
        <v>3</v>
      </c>
      <c r="B18" t="str">
        <f>CONCATENATE("Entnahme ",A18)</f>
        <v>Entnahme 3</v>
      </c>
      <c r="C18" s="59">
        <v>0.83333333333333337</v>
      </c>
      <c r="D18" s="60"/>
      <c r="E18" s="26">
        <v>-2</v>
      </c>
      <c r="F18" s="27">
        <v>37</v>
      </c>
      <c r="G18" s="24">
        <f>E18*(J18-F18)/(H17-J18)*-1</f>
        <v>-0.98411314463257116</v>
      </c>
      <c r="H18" s="25">
        <f>H17</f>
        <v>62.80716609945091</v>
      </c>
      <c r="I18" s="24">
        <f>E18-G18</f>
        <v>-1.015886855367429</v>
      </c>
      <c r="J18" s="25">
        <v>12</v>
      </c>
      <c r="K18" s="39" t="str">
        <f>IF(AND(AND(G18*-1&lt;=$G$10,G18&gt;E18),I18&lt;=0),"ok","nok")</f>
        <v>ok</v>
      </c>
    </row>
    <row r="19" spans="1:11" x14ac:dyDescent="0.25">
      <c r="B19" t="str">
        <f>CONCATENATE("Temp nach Entnahme ",A18)</f>
        <v>Temp nach Entnahme 3</v>
      </c>
      <c r="C19" s="61"/>
      <c r="D19" s="60"/>
      <c r="E19" s="24"/>
      <c r="F19" s="25"/>
      <c r="G19" s="24">
        <f>$G$10</f>
        <v>96</v>
      </c>
      <c r="H19" s="25">
        <f>(($G$10+G18)*H18*$E$4+G18*J18*$E$4*-1)/(($G$10+G18)*$E$4+G18*-1*$E$4)</f>
        <v>62.286332766117575</v>
      </c>
      <c r="I19" s="64">
        <f>G18</f>
        <v>-0.98411314463257116</v>
      </c>
      <c r="J19" s="25"/>
      <c r="K19" s="39"/>
    </row>
    <row r="20" spans="1:11" x14ac:dyDescent="0.25">
      <c r="B20" s="9" t="str">
        <f xml:space="preserve"> CONCATENATE("Abkühlung bis Entnahme ",A21)</f>
        <v>Abkühlung bis Entnahme 4</v>
      </c>
      <c r="C20" s="57"/>
      <c r="D20" s="58">
        <f>(C21-C18)*24*60</f>
        <v>74.999999999999886</v>
      </c>
      <c r="E20" s="30"/>
      <c r="F20" s="31"/>
      <c r="G20" s="30">
        <f>$G$10</f>
        <v>96</v>
      </c>
      <c r="H20" s="31">
        <f>$E$6+(H19-$E$6)*EXP(-$E$5*D20)</f>
        <v>61.524659354588515</v>
      </c>
      <c r="I20" s="30"/>
      <c r="J20" s="31"/>
      <c r="K20" s="39"/>
    </row>
    <row r="21" spans="1:11" x14ac:dyDescent="0.25">
      <c r="A21">
        <f>A18+1</f>
        <v>4</v>
      </c>
      <c r="B21" t="str">
        <f>CONCATENATE("Entnahme ",A21)</f>
        <v>Entnahme 4</v>
      </c>
      <c r="C21" s="59">
        <v>0.88541666666666663</v>
      </c>
      <c r="D21" s="60"/>
      <c r="E21" s="26">
        <v>-10</v>
      </c>
      <c r="F21" s="27">
        <v>39</v>
      </c>
      <c r="G21" s="24">
        <f>E21*(J21-F21)/(H20-J21)*-1</f>
        <v>-5.4518295232854381</v>
      </c>
      <c r="H21" s="25">
        <f>H20</f>
        <v>61.524659354588515</v>
      </c>
      <c r="I21" s="24">
        <f>E21-G21</f>
        <v>-4.5481704767145619</v>
      </c>
      <c r="J21" s="25">
        <v>12</v>
      </c>
      <c r="K21" s="39" t="str">
        <f>IF(AND(AND(G21*-1&lt;=$G$10,G21&gt;E21),I21&lt;=0),"ok","nok")</f>
        <v>ok</v>
      </c>
    </row>
    <row r="22" spans="1:11" x14ac:dyDescent="0.25">
      <c r="B22" t="str">
        <f>CONCATENATE("Temp nach Entnahme ",A21)</f>
        <v>Temp nach Entnahme 4</v>
      </c>
      <c r="C22" s="61"/>
      <c r="D22" s="60"/>
      <c r="E22" s="24"/>
      <c r="F22" s="25"/>
      <c r="G22" s="24">
        <f>$G$10</f>
        <v>96</v>
      </c>
      <c r="H22" s="25">
        <f>(($G$10+G21)*H21*$E$4+G21*J21*$E$4*-1)/(($G$10+G21)*$E$4+G21*-1*$E$4)</f>
        <v>58.712159354588515</v>
      </c>
      <c r="I22" s="64">
        <f>G21</f>
        <v>-5.4518295232854381</v>
      </c>
      <c r="J22" s="25"/>
      <c r="K22" s="39"/>
    </row>
    <row r="23" spans="1:11" x14ac:dyDescent="0.25">
      <c r="B23" s="9" t="str">
        <f xml:space="preserve"> CONCATENATE("Abkühlung bis Entnahme ",A24)</f>
        <v>Abkühlung bis Entnahme 5</v>
      </c>
      <c r="C23" s="57"/>
      <c r="D23" s="58">
        <f>(C24-C21)*24*60</f>
        <v>45</v>
      </c>
      <c r="E23" s="30"/>
      <c r="F23" s="31"/>
      <c r="G23" s="30">
        <f>$G$10</f>
        <v>96</v>
      </c>
      <c r="H23" s="31">
        <f>$E$6+(H22-$E$6)*EXP(-$E$5*D23)</f>
        <v>58.292262731110412</v>
      </c>
      <c r="I23" s="30"/>
      <c r="J23" s="31"/>
      <c r="K23" s="39"/>
    </row>
    <row r="24" spans="1:11" x14ac:dyDescent="0.25">
      <c r="A24">
        <f>A21+1</f>
        <v>5</v>
      </c>
      <c r="B24" t="str">
        <f>CONCATENATE("Entnahme ",A24)</f>
        <v>Entnahme 5</v>
      </c>
      <c r="C24" s="59">
        <v>0.91666666666666663</v>
      </c>
      <c r="D24" s="60"/>
      <c r="E24" s="26">
        <v>-10</v>
      </c>
      <c r="F24" s="27">
        <v>31</v>
      </c>
      <c r="G24" s="24">
        <f>E24*(J24-F24)/(H23-J24)*-1</f>
        <v>-4.1043575921881166</v>
      </c>
      <c r="H24" s="25">
        <f>H23</f>
        <v>58.292262731110412</v>
      </c>
      <c r="I24" s="24">
        <f>E24-G24</f>
        <v>-5.8956424078118834</v>
      </c>
      <c r="J24" s="25">
        <v>12</v>
      </c>
      <c r="K24" s="39" t="str">
        <f>IF(AND(AND(G24*-1&lt;=$G$10,G24&gt;E24),I24&lt;=0),"ok","nok")</f>
        <v>ok</v>
      </c>
    </row>
    <row r="25" spans="1:11" x14ac:dyDescent="0.25">
      <c r="B25" t="str">
        <f>CONCATENATE("Temp nach Entnahme ",A24)</f>
        <v>Temp nach Entnahme 5</v>
      </c>
      <c r="C25" s="61"/>
      <c r="D25" s="60"/>
      <c r="E25" s="24"/>
      <c r="F25" s="25"/>
      <c r="G25" s="24">
        <f>$G$10</f>
        <v>96</v>
      </c>
      <c r="H25" s="25">
        <f>(($G$10+G24)*H24*$E$4+G24*J24*$E$4*-1)/(($G$10+G24)*$E$4+G24*-1*$E$4)</f>
        <v>56.313096064443741</v>
      </c>
      <c r="I25" s="64">
        <f>G24</f>
        <v>-4.1043575921881166</v>
      </c>
      <c r="J25" s="25"/>
      <c r="K25" s="39"/>
    </row>
    <row r="26" spans="1:11" x14ac:dyDescent="0.25">
      <c r="B26" s="9" t="str">
        <f xml:space="preserve"> CONCATENATE("Abkühlung bis Entnahme ",A27)</f>
        <v>Abkühlung bis Entnahme 6</v>
      </c>
      <c r="C26" s="57"/>
      <c r="D26" s="58">
        <f>(C27-C24)*24*60</f>
        <v>0</v>
      </c>
      <c r="E26" s="30"/>
      <c r="F26" s="31"/>
      <c r="G26" s="30">
        <f>$G$10</f>
        <v>96</v>
      </c>
      <c r="H26" s="31">
        <f>$E$6+(H25-$E$6)*EXP(-$E$5*D26)</f>
        <v>56.313096064443741</v>
      </c>
      <c r="I26" s="30"/>
      <c r="J26" s="31"/>
      <c r="K26" s="39"/>
    </row>
    <row r="27" spans="1:11" x14ac:dyDescent="0.25">
      <c r="A27">
        <f>A24+1</f>
        <v>6</v>
      </c>
      <c r="B27" t="str">
        <f>CONCATENATE("Entnahme ",A27)</f>
        <v>Entnahme 6</v>
      </c>
      <c r="C27" s="59">
        <v>0.91666666666666663</v>
      </c>
      <c r="D27" s="60"/>
      <c r="E27" s="26">
        <v>-40</v>
      </c>
      <c r="F27" s="27">
        <v>37</v>
      </c>
      <c r="G27" s="24">
        <f>E27*(J27-F27)/(H26-J27)*-1</f>
        <v>-22.566692215450665</v>
      </c>
      <c r="H27" s="25">
        <f>H26</f>
        <v>56.313096064443741</v>
      </c>
      <c r="I27" s="24">
        <f>E27-G27</f>
        <v>-17.433307784549335</v>
      </c>
      <c r="J27" s="25">
        <v>12</v>
      </c>
      <c r="K27" s="39" t="str">
        <f>IF(AND(AND(G27*-1&lt;=$G$10,G27&gt;E27),I27&lt;=0),"ok","nok")</f>
        <v>ok</v>
      </c>
    </row>
    <row r="28" spans="1:11" x14ac:dyDescent="0.25">
      <c r="B28" t="str">
        <f>CONCATENATE("Temp nach Entnahme ",A27)</f>
        <v>Temp nach Entnahme 6</v>
      </c>
      <c r="C28" s="61"/>
      <c r="D28" s="60"/>
      <c r="E28" s="24"/>
      <c r="F28" s="25"/>
      <c r="G28" s="24">
        <f>$G$10</f>
        <v>96</v>
      </c>
      <c r="H28" s="25">
        <f>(($G$10+G27)*H27*$E$4+G27*J27*$E$4*-1)/(($G$10+G27)*$E$4+G27*-1*$E$4)</f>
        <v>45.896429397777077</v>
      </c>
      <c r="I28" s="64">
        <f>G27</f>
        <v>-22.566692215450665</v>
      </c>
      <c r="J28" s="25"/>
      <c r="K28" s="39"/>
    </row>
    <row r="29" spans="1:11" x14ac:dyDescent="0.25">
      <c r="B29" s="9" t="str">
        <f xml:space="preserve"> CONCATENATE("Abkühlung bis Entnahme ",A30)</f>
        <v>Abkühlung bis Entnahme 7</v>
      </c>
      <c r="C29" s="57"/>
      <c r="D29" s="58">
        <f>(C30-C27)*24*60</f>
        <v>30.000000000000053</v>
      </c>
      <c r="E29" s="30"/>
      <c r="F29" s="31"/>
      <c r="G29" s="30">
        <f>$G$10</f>
        <v>96</v>
      </c>
      <c r="H29" s="31">
        <f>$E$6+(H28-$E$6)*EXP(-$E$5*D29)</f>
        <v>45.70882983888562</v>
      </c>
      <c r="I29" s="30"/>
      <c r="J29" s="31"/>
      <c r="K29" s="39"/>
    </row>
    <row r="30" spans="1:11" x14ac:dyDescent="0.25">
      <c r="A30">
        <f>A27+1</f>
        <v>7</v>
      </c>
      <c r="B30" t="str">
        <f>CONCATENATE("Entnahme ",A30)</f>
        <v>Entnahme 7</v>
      </c>
      <c r="C30" s="59">
        <v>0.9375</v>
      </c>
      <c r="D30" s="60"/>
      <c r="E30" s="26">
        <v>-40</v>
      </c>
      <c r="F30" s="27">
        <v>37</v>
      </c>
      <c r="G30" s="24">
        <f>E30*(J30-F30)/(H29-J30)*-1</f>
        <v>-29.665817673873278</v>
      </c>
      <c r="H30" s="25">
        <f>H29</f>
        <v>45.70882983888562</v>
      </c>
      <c r="I30" s="24">
        <f>E30-G30</f>
        <v>-10.334182326126722</v>
      </c>
      <c r="J30" s="25">
        <v>12</v>
      </c>
      <c r="K30" s="39" t="str">
        <f>IF(AND(AND(G30*-1&lt;=$G$10,G30&gt;E30),I30&lt;=0),"ok","nok")</f>
        <v>ok</v>
      </c>
    </row>
    <row r="31" spans="1:11" x14ac:dyDescent="0.25">
      <c r="B31" t="str">
        <f>CONCATENATE("Temp nach Entnahme ",A30)</f>
        <v>Temp nach Entnahme 7</v>
      </c>
      <c r="C31" s="61"/>
      <c r="D31" s="60"/>
      <c r="E31" s="24"/>
      <c r="F31" s="25"/>
      <c r="G31" s="24">
        <f>$G$10</f>
        <v>96</v>
      </c>
      <c r="H31" s="25">
        <f>(($G$10+G30)*H30*$E$4+G30*J30*$E$4*-1)/(($G$10+G30)*$E$4+G30*-1*$E$4)</f>
        <v>35.292163172218956</v>
      </c>
      <c r="I31" s="64">
        <f>G30</f>
        <v>-29.665817673873278</v>
      </c>
      <c r="J31" s="25"/>
      <c r="K31" s="39"/>
    </row>
    <row r="32" spans="1:11" x14ac:dyDescent="0.25">
      <c r="B32" s="9" t="str">
        <f xml:space="preserve"> CONCATENATE("Abkühlung bis Entnahme ",A33)</f>
        <v>Abkühlung bis Entnahme 8</v>
      </c>
      <c r="C32" s="57"/>
      <c r="D32" s="58">
        <f>(C33-C30)*24*60</f>
        <v>30.000000000000053</v>
      </c>
      <c r="E32" s="30"/>
      <c r="F32" s="31"/>
      <c r="G32" s="30">
        <f>$G$10</f>
        <v>96</v>
      </c>
      <c r="H32" s="31">
        <f>$E$6+(H31-$E$6)*EXP(-$E$5*D32)</f>
        <v>35.181383302857867</v>
      </c>
      <c r="I32" s="30"/>
      <c r="J32" s="31"/>
      <c r="K32" s="39"/>
    </row>
    <row r="33" spans="1:11" x14ac:dyDescent="0.25">
      <c r="A33">
        <f>A30+1</f>
        <v>8</v>
      </c>
      <c r="B33" t="str">
        <f>CONCATENATE("Entnahme ",A33)</f>
        <v>Entnahme 8</v>
      </c>
      <c r="C33" s="59">
        <v>0.95833333333333337</v>
      </c>
      <c r="D33" s="60"/>
      <c r="E33" s="26">
        <v>-40</v>
      </c>
      <c r="F33" s="27">
        <v>37</v>
      </c>
      <c r="G33" s="24">
        <f>E33*(J33-F33)/(H32-J33)*-1</f>
        <v>-43.13806414980926</v>
      </c>
      <c r="H33" s="25">
        <f>H32</f>
        <v>35.181383302857867</v>
      </c>
      <c r="I33" s="24">
        <f>E33-G33</f>
        <v>3.1380641498092601</v>
      </c>
      <c r="J33" s="25">
        <v>12</v>
      </c>
      <c r="K33" s="39" t="str">
        <f>IF(AND(AND(G33*-1&lt;=$G$10,G33&gt;E33),I33&lt;=0),"ok","nok")</f>
        <v>nok</v>
      </c>
    </row>
    <row r="34" spans="1:11" ht="15.75" thickBot="1" x14ac:dyDescent="0.3">
      <c r="B34" t="str">
        <f>CONCATENATE("Temp nach Entnahme ",A33)</f>
        <v>Temp nach Entnahme 8</v>
      </c>
      <c r="C34" s="62"/>
      <c r="D34" s="63"/>
      <c r="E34" s="28"/>
      <c r="F34" s="29"/>
      <c r="G34" s="28">
        <f>$G$10</f>
        <v>96</v>
      </c>
      <c r="H34" s="29">
        <f>(($G$10+G33)*H33*$E$4+G33*J33*$E$4*-1)/(($G$10+G33)*$E$4+G33*-1*$E$4)</f>
        <v>24.764716636191203</v>
      </c>
      <c r="I34" s="65">
        <f>G33</f>
        <v>-43.13806414980926</v>
      </c>
      <c r="J34" s="29"/>
      <c r="K34" s="40"/>
    </row>
    <row r="35" spans="1:11" ht="15.75" thickBot="1" x14ac:dyDescent="0.3">
      <c r="B35" s="44" t="s">
        <v>139</v>
      </c>
      <c r="C35" s="44"/>
      <c r="D35" s="44"/>
      <c r="E35" s="49">
        <f>SUM(E12,E15,E18,E21,E24,E27,E30,E33)*-1</f>
        <v>162</v>
      </c>
      <c r="F35" s="50" t="s">
        <v>140</v>
      </c>
      <c r="G35" s="50"/>
      <c r="H35" s="50"/>
      <c r="I35" s="49">
        <f>SUM(I10:I34)*-1</f>
        <v>162</v>
      </c>
      <c r="K35">
        <f>COUNTIF(K10:K34,"nok")</f>
        <v>1</v>
      </c>
    </row>
    <row r="36" spans="1:11" ht="15.75" thickTop="1" x14ac:dyDescent="0.25">
      <c r="G36" s="66" t="s">
        <v>141</v>
      </c>
      <c r="H36" s="66"/>
      <c r="I36" s="2">
        <f>SUM(I12,I15,I18,I21,I24,I27,I30,I33)*-1</f>
        <v>47.656394900799583</v>
      </c>
    </row>
  </sheetData>
  <mergeCells count="14">
    <mergeCell ref="B2:O2"/>
    <mergeCell ref="B35:D35"/>
    <mergeCell ref="F35:H35"/>
    <mergeCell ref="G36:H36"/>
    <mergeCell ref="M8:O8"/>
    <mergeCell ref="E4:F4"/>
    <mergeCell ref="E6:F6"/>
    <mergeCell ref="B4:C4"/>
    <mergeCell ref="B5:C5"/>
    <mergeCell ref="B6:C6"/>
    <mergeCell ref="G8:H8"/>
    <mergeCell ref="I8:J8"/>
    <mergeCell ref="E8:F8"/>
    <mergeCell ref="E5:F5"/>
  </mergeCells>
  <pageMargins left="0.7" right="0.7" top="0.78740157499999996" bottom="0.78740157499999996" header="0.3" footer="0.3"/>
  <pageSetup paperSize="9" orientation="portrait" r:id="rId1"/>
  <ignoredErrors>
    <ignoredError sqref="G12 G15 G18 G21 G24 G27 G30 G3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FindOptimum">
                <anchor moveWithCells="1" sizeWithCells="1">
                  <from>
                    <xdr:col>12</xdr:col>
                    <xdr:colOff>76200</xdr:colOff>
                    <xdr:row>11</xdr:row>
                    <xdr:rowOff>142875</xdr:rowOff>
                  </from>
                  <to>
                    <xdr:col>14</xdr:col>
                    <xdr:colOff>695325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0]!FindNext">
                <anchor moveWithCells="1" sizeWithCells="1">
                  <from>
                    <xdr:col>12</xdr:col>
                    <xdr:colOff>76200</xdr:colOff>
                    <xdr:row>13</xdr:row>
                    <xdr:rowOff>161925</xdr:rowOff>
                  </from>
                  <to>
                    <xdr:col>14</xdr:col>
                    <xdr:colOff>685800</xdr:colOff>
                    <xdr:row>15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F230"/>
  <sheetViews>
    <sheetView showGridLines="0" topLeftCell="A16" workbookViewId="0">
      <selection activeCell="C30" sqref="C30"/>
    </sheetView>
  </sheetViews>
  <sheetFormatPr baseColWidth="10" defaultRowHeight="15" x14ac:dyDescent="0.25"/>
  <cols>
    <col min="1" max="1" width="3.42578125" customWidth="1"/>
    <col min="2" max="2" width="21" customWidth="1"/>
    <col min="3" max="3" width="23" bestFit="1" customWidth="1"/>
  </cols>
  <sheetData>
    <row r="2" spans="2:6" ht="20.25" thickBot="1" x14ac:dyDescent="0.35">
      <c r="B2" s="41" t="s">
        <v>40</v>
      </c>
      <c r="C2" s="41"/>
      <c r="D2" s="41"/>
      <c r="E2" s="41"/>
      <c r="F2" s="41"/>
    </row>
    <row r="3" spans="2:6" ht="15.75" thickTop="1" x14ac:dyDescent="0.25"/>
    <row r="4" spans="2:6" x14ac:dyDescent="0.25">
      <c r="B4" t="s">
        <v>38</v>
      </c>
      <c r="C4" s="6">
        <v>400</v>
      </c>
      <c r="D4" t="s">
        <v>41</v>
      </c>
    </row>
    <row r="5" spans="2:6" x14ac:dyDescent="0.25">
      <c r="B5" t="s">
        <v>37</v>
      </c>
      <c r="C5" s="6">
        <v>30</v>
      </c>
      <c r="D5" t="s">
        <v>42</v>
      </c>
    </row>
    <row r="7" spans="2:6" x14ac:dyDescent="0.25">
      <c r="B7" t="s">
        <v>123</v>
      </c>
      <c r="C7" s="8">
        <v>12</v>
      </c>
      <c r="D7" t="s">
        <v>42</v>
      </c>
    </row>
    <row r="9" spans="2:6" x14ac:dyDescent="0.25">
      <c r="B9" t="s">
        <v>124</v>
      </c>
      <c r="C9" t="s">
        <v>125</v>
      </c>
    </row>
    <row r="10" spans="2:6" x14ac:dyDescent="0.25">
      <c r="B10" s="8">
        <v>60</v>
      </c>
      <c r="C10" s="10">
        <f>(-$C$4*($C$7-$C$5))/(B10-$C$7)</f>
        <v>150</v>
      </c>
    </row>
    <row r="11" spans="2:6" x14ac:dyDescent="0.25">
      <c r="B11" s="2">
        <f>B10+1</f>
        <v>61</v>
      </c>
      <c r="C11" s="10">
        <f t="shared" ref="C11:C45" si="0">(-$C$4*($C$7-$C$5))/(B11-$C$7)</f>
        <v>146.9387755102041</v>
      </c>
    </row>
    <row r="12" spans="2:6" x14ac:dyDescent="0.25">
      <c r="B12" s="2">
        <f t="shared" ref="B12:B45" si="1">B11+1</f>
        <v>62</v>
      </c>
      <c r="C12" s="10">
        <f t="shared" si="0"/>
        <v>144</v>
      </c>
    </row>
    <row r="13" spans="2:6" x14ac:dyDescent="0.25">
      <c r="B13" s="2">
        <f t="shared" si="1"/>
        <v>63</v>
      </c>
      <c r="C13" s="10">
        <f t="shared" si="0"/>
        <v>141.1764705882353</v>
      </c>
    </row>
    <row r="14" spans="2:6" x14ac:dyDescent="0.25">
      <c r="B14" s="2">
        <f t="shared" si="1"/>
        <v>64</v>
      </c>
      <c r="C14" s="10">
        <f t="shared" si="0"/>
        <v>138.46153846153845</v>
      </c>
    </row>
    <row r="15" spans="2:6" x14ac:dyDescent="0.25">
      <c r="B15" s="2">
        <f t="shared" si="1"/>
        <v>65</v>
      </c>
      <c r="C15" s="10">
        <f t="shared" si="0"/>
        <v>135.84905660377359</v>
      </c>
    </row>
    <row r="16" spans="2:6" x14ac:dyDescent="0.25">
      <c r="B16" s="2">
        <f t="shared" si="1"/>
        <v>66</v>
      </c>
      <c r="C16" s="10">
        <f t="shared" si="0"/>
        <v>133.33333333333334</v>
      </c>
    </row>
    <row r="17" spans="2:3" x14ac:dyDescent="0.25">
      <c r="B17" s="2">
        <f t="shared" si="1"/>
        <v>67</v>
      </c>
      <c r="C17" s="10">
        <f t="shared" si="0"/>
        <v>130.90909090909091</v>
      </c>
    </row>
    <row r="18" spans="2:3" x14ac:dyDescent="0.25">
      <c r="B18" s="2">
        <f t="shared" si="1"/>
        <v>68</v>
      </c>
      <c r="C18" s="10">
        <f t="shared" si="0"/>
        <v>128.57142857142858</v>
      </c>
    </row>
    <row r="19" spans="2:3" x14ac:dyDescent="0.25">
      <c r="B19" s="2">
        <f t="shared" si="1"/>
        <v>69</v>
      </c>
      <c r="C19" s="10">
        <f t="shared" si="0"/>
        <v>126.31578947368421</v>
      </c>
    </row>
    <row r="20" spans="2:3" x14ac:dyDescent="0.25">
      <c r="B20" s="2">
        <f t="shared" si="1"/>
        <v>70</v>
      </c>
      <c r="C20" s="10">
        <f t="shared" si="0"/>
        <v>124.13793103448276</v>
      </c>
    </row>
    <row r="21" spans="2:3" x14ac:dyDescent="0.25">
      <c r="B21" s="2">
        <f t="shared" si="1"/>
        <v>71</v>
      </c>
      <c r="C21" s="10">
        <f t="shared" si="0"/>
        <v>122.03389830508475</v>
      </c>
    </row>
    <row r="22" spans="2:3" x14ac:dyDescent="0.25">
      <c r="B22" s="2">
        <f t="shared" si="1"/>
        <v>72</v>
      </c>
      <c r="C22" s="10">
        <f t="shared" si="0"/>
        <v>120</v>
      </c>
    </row>
    <row r="23" spans="2:3" x14ac:dyDescent="0.25">
      <c r="B23" s="2">
        <f t="shared" si="1"/>
        <v>73</v>
      </c>
      <c r="C23" s="10">
        <f t="shared" si="0"/>
        <v>118.0327868852459</v>
      </c>
    </row>
    <row r="24" spans="2:3" x14ac:dyDescent="0.25">
      <c r="B24" s="2">
        <f t="shared" si="1"/>
        <v>74</v>
      </c>
      <c r="C24" s="10">
        <f t="shared" si="0"/>
        <v>116.12903225806451</v>
      </c>
    </row>
    <row r="25" spans="2:3" x14ac:dyDescent="0.25">
      <c r="B25" s="2">
        <f t="shared" si="1"/>
        <v>75</v>
      </c>
      <c r="C25" s="10">
        <f t="shared" si="0"/>
        <v>114.28571428571429</v>
      </c>
    </row>
    <row r="26" spans="2:3" x14ac:dyDescent="0.25">
      <c r="B26" s="2">
        <f t="shared" si="1"/>
        <v>76</v>
      </c>
      <c r="C26" s="10">
        <f t="shared" si="0"/>
        <v>112.5</v>
      </c>
    </row>
    <row r="27" spans="2:3" x14ac:dyDescent="0.25">
      <c r="B27" s="2">
        <f t="shared" si="1"/>
        <v>77</v>
      </c>
      <c r="C27" s="10">
        <f t="shared" si="0"/>
        <v>110.76923076923077</v>
      </c>
    </row>
    <row r="28" spans="2:3" x14ac:dyDescent="0.25">
      <c r="B28" s="2">
        <f t="shared" si="1"/>
        <v>78</v>
      </c>
      <c r="C28" s="10">
        <f t="shared" si="0"/>
        <v>109.09090909090909</v>
      </c>
    </row>
    <row r="29" spans="2:3" x14ac:dyDescent="0.25">
      <c r="B29" s="2">
        <f t="shared" si="1"/>
        <v>79</v>
      </c>
      <c r="C29" s="10">
        <f t="shared" si="0"/>
        <v>107.46268656716418</v>
      </c>
    </row>
    <row r="30" spans="2:3" x14ac:dyDescent="0.25">
      <c r="B30" s="2">
        <f t="shared" si="1"/>
        <v>80</v>
      </c>
      <c r="C30" s="10">
        <f t="shared" si="0"/>
        <v>105.88235294117646</v>
      </c>
    </row>
    <row r="31" spans="2:3" x14ac:dyDescent="0.25">
      <c r="B31" s="2">
        <f t="shared" si="1"/>
        <v>81</v>
      </c>
      <c r="C31" s="10">
        <f t="shared" si="0"/>
        <v>104.34782608695652</v>
      </c>
    </row>
    <row r="32" spans="2:3" x14ac:dyDescent="0.25">
      <c r="B32" s="2">
        <f t="shared" si="1"/>
        <v>82</v>
      </c>
      <c r="C32" s="10">
        <f t="shared" si="0"/>
        <v>102.85714285714286</v>
      </c>
    </row>
    <row r="33" spans="2:3" x14ac:dyDescent="0.25">
      <c r="B33" s="2">
        <f t="shared" si="1"/>
        <v>83</v>
      </c>
      <c r="C33" s="10">
        <f t="shared" si="0"/>
        <v>101.40845070422536</v>
      </c>
    </row>
    <row r="34" spans="2:3" x14ac:dyDescent="0.25">
      <c r="B34" s="2">
        <f t="shared" si="1"/>
        <v>84</v>
      </c>
      <c r="C34" s="10">
        <f t="shared" si="0"/>
        <v>100</v>
      </c>
    </row>
    <row r="35" spans="2:3" x14ac:dyDescent="0.25">
      <c r="B35" s="2">
        <f t="shared" si="1"/>
        <v>85</v>
      </c>
      <c r="C35" s="10">
        <f t="shared" si="0"/>
        <v>98.630136986301366</v>
      </c>
    </row>
    <row r="36" spans="2:3" x14ac:dyDescent="0.25">
      <c r="B36" s="2">
        <f t="shared" si="1"/>
        <v>86</v>
      </c>
      <c r="C36" s="10">
        <f t="shared" si="0"/>
        <v>97.297297297297291</v>
      </c>
    </row>
    <row r="37" spans="2:3" x14ac:dyDescent="0.25">
      <c r="B37" s="2">
        <f t="shared" si="1"/>
        <v>87</v>
      </c>
      <c r="C37" s="10">
        <f t="shared" si="0"/>
        <v>96</v>
      </c>
    </row>
    <row r="38" spans="2:3" x14ac:dyDescent="0.25">
      <c r="B38" s="2">
        <f t="shared" si="1"/>
        <v>88</v>
      </c>
      <c r="C38" s="10">
        <f t="shared" si="0"/>
        <v>94.736842105263165</v>
      </c>
    </row>
    <row r="39" spans="2:3" x14ac:dyDescent="0.25">
      <c r="B39" s="2">
        <f t="shared" si="1"/>
        <v>89</v>
      </c>
      <c r="C39" s="10">
        <f t="shared" si="0"/>
        <v>93.506493506493513</v>
      </c>
    </row>
    <row r="40" spans="2:3" x14ac:dyDescent="0.25">
      <c r="B40" s="2">
        <f t="shared" si="1"/>
        <v>90</v>
      </c>
      <c r="C40" s="10">
        <f t="shared" si="0"/>
        <v>92.307692307692307</v>
      </c>
    </row>
    <row r="41" spans="2:3" x14ac:dyDescent="0.25">
      <c r="B41" s="2">
        <f t="shared" si="1"/>
        <v>91</v>
      </c>
      <c r="C41" s="10">
        <f t="shared" si="0"/>
        <v>91.139240506329116</v>
      </c>
    </row>
    <row r="42" spans="2:3" x14ac:dyDescent="0.25">
      <c r="B42" s="2">
        <f t="shared" si="1"/>
        <v>92</v>
      </c>
      <c r="C42" s="10">
        <f t="shared" si="0"/>
        <v>90</v>
      </c>
    </row>
    <row r="43" spans="2:3" x14ac:dyDescent="0.25">
      <c r="B43" s="2">
        <f t="shared" si="1"/>
        <v>93</v>
      </c>
      <c r="C43" s="10">
        <f t="shared" si="0"/>
        <v>88.888888888888886</v>
      </c>
    </row>
    <row r="44" spans="2:3" x14ac:dyDescent="0.25">
      <c r="B44" s="2">
        <f t="shared" si="1"/>
        <v>94</v>
      </c>
      <c r="C44" s="10">
        <f t="shared" si="0"/>
        <v>87.804878048780495</v>
      </c>
    </row>
    <row r="45" spans="2:3" x14ac:dyDescent="0.25">
      <c r="B45" s="2">
        <f t="shared" si="1"/>
        <v>95</v>
      </c>
      <c r="C45" s="10">
        <f t="shared" si="0"/>
        <v>86.746987951807228</v>
      </c>
    </row>
    <row r="46" spans="2:3" x14ac:dyDescent="0.25">
      <c r="B46" s="2"/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H60"/>
  <sheetViews>
    <sheetView showGridLines="0" topLeftCell="D1" workbookViewId="0">
      <selection activeCell="I34" sqref="I34"/>
    </sheetView>
  </sheetViews>
  <sheetFormatPr baseColWidth="10" defaultRowHeight="15" x14ac:dyDescent="0.25"/>
  <cols>
    <col min="2" max="2" width="16.140625" customWidth="1"/>
    <col min="3" max="3" width="16.42578125" bestFit="1" customWidth="1"/>
    <col min="4" max="4" width="14.85546875" bestFit="1" customWidth="1"/>
    <col min="5" max="5" width="13.85546875" bestFit="1" customWidth="1"/>
  </cols>
  <sheetData>
    <row r="2" spans="1:8" ht="23.25" x14ac:dyDescent="0.35">
      <c r="B2" s="46" t="s">
        <v>126</v>
      </c>
      <c r="C2" s="46"/>
      <c r="D2" s="46"/>
      <c r="E2" s="46"/>
      <c r="F2" s="46"/>
      <c r="G2" s="46"/>
      <c r="H2" s="46"/>
    </row>
    <row r="4" spans="1:8" x14ac:dyDescent="0.25">
      <c r="B4" s="45" t="s">
        <v>127</v>
      </c>
      <c r="C4" s="45"/>
      <c r="D4">
        <v>100</v>
      </c>
      <c r="E4" t="s">
        <v>128</v>
      </c>
    </row>
    <row r="5" spans="1:8" x14ac:dyDescent="0.25">
      <c r="B5" s="45" t="s">
        <v>33</v>
      </c>
      <c r="C5" s="45"/>
      <c r="D5">
        <v>80</v>
      </c>
      <c r="E5" t="s">
        <v>46</v>
      </c>
    </row>
    <row r="6" spans="1:8" x14ac:dyDescent="0.25">
      <c r="B6" s="19"/>
      <c r="C6" s="19"/>
    </row>
    <row r="7" spans="1:8" x14ac:dyDescent="0.25">
      <c r="B7" s="45" t="s">
        <v>123</v>
      </c>
      <c r="C7" s="45"/>
      <c r="D7">
        <v>12</v>
      </c>
      <c r="E7" t="s">
        <v>46</v>
      </c>
    </row>
    <row r="9" spans="1:8" x14ac:dyDescent="0.25">
      <c r="B9" t="s">
        <v>129</v>
      </c>
      <c r="C9" t="str">
        <f>CONCATENATE("Warmwasser ",'Abgabemenge Boiler'!$D$5,"°C")</f>
        <v>Warmwasser 80°C</v>
      </c>
      <c r="D9" t="str">
        <f>CONCATENATE("Kaltwasser ",D7,"°C")</f>
        <v>Kaltwasser 12°C</v>
      </c>
      <c r="E9" t="s">
        <v>131</v>
      </c>
    </row>
    <row r="10" spans="1:8" x14ac:dyDescent="0.25">
      <c r="A10" s="20">
        <v>0</v>
      </c>
      <c r="B10" s="1">
        <v>35</v>
      </c>
      <c r="C10" s="1">
        <v>100</v>
      </c>
      <c r="D10" s="1">
        <f>-$D$4*($D$5-B10)/($D$7-B10)</f>
        <v>195.65217391304347</v>
      </c>
      <c r="E10" s="1">
        <f>C10+D10</f>
        <v>295.6521739130435</v>
      </c>
    </row>
    <row r="11" spans="1:8" x14ac:dyDescent="0.25">
      <c r="A11" s="20">
        <v>1</v>
      </c>
      <c r="B11" s="1">
        <f>($D$5-$B$10)/50*A11+$B$10</f>
        <v>35.9</v>
      </c>
      <c r="C11" s="1">
        <v>100</v>
      </c>
      <c r="D11" s="1">
        <f t="shared" ref="D11:D60" si="0">-$D$4*($D$5-B11)/($D$7-B11)</f>
        <v>184.51882845188285</v>
      </c>
      <c r="E11" s="1">
        <f t="shared" ref="E11:E60" si="1">C11+D11</f>
        <v>284.51882845188288</v>
      </c>
    </row>
    <row r="12" spans="1:8" x14ac:dyDescent="0.25">
      <c r="A12" s="20">
        <f>A11+1</f>
        <v>2</v>
      </c>
      <c r="B12" s="1">
        <f t="shared" ref="B12:B60" si="2">($D$5-$B$10)/50*A12+$B$10</f>
        <v>36.799999999999997</v>
      </c>
      <c r="C12" s="1">
        <v>100</v>
      </c>
      <c r="D12" s="1">
        <f t="shared" si="0"/>
        <v>174.1935483870968</v>
      </c>
      <c r="E12" s="1">
        <f t="shared" si="1"/>
        <v>274.19354838709683</v>
      </c>
    </row>
    <row r="13" spans="1:8" x14ac:dyDescent="0.25">
      <c r="A13" s="20">
        <f t="shared" ref="A13:A60" si="3">A12+1</f>
        <v>3</v>
      </c>
      <c r="B13" s="1">
        <f t="shared" si="2"/>
        <v>37.700000000000003</v>
      </c>
      <c r="C13" s="1">
        <v>100</v>
      </c>
      <c r="D13" s="1">
        <f t="shared" si="0"/>
        <v>164.59143968871592</v>
      </c>
      <c r="E13" s="1">
        <f t="shared" si="1"/>
        <v>264.59143968871592</v>
      </c>
    </row>
    <row r="14" spans="1:8" x14ac:dyDescent="0.25">
      <c r="A14" s="20">
        <f t="shared" si="3"/>
        <v>4</v>
      </c>
      <c r="B14" s="1">
        <f t="shared" si="2"/>
        <v>38.6</v>
      </c>
      <c r="C14" s="1">
        <v>100</v>
      </c>
      <c r="D14" s="1">
        <f t="shared" si="0"/>
        <v>155.6390977443609</v>
      </c>
      <c r="E14" s="1">
        <f t="shared" si="1"/>
        <v>255.6390977443609</v>
      </c>
    </row>
    <row r="15" spans="1:8" x14ac:dyDescent="0.25">
      <c r="A15" s="20">
        <f t="shared" si="3"/>
        <v>5</v>
      </c>
      <c r="B15" s="1">
        <f t="shared" si="2"/>
        <v>39.5</v>
      </c>
      <c r="C15" s="1">
        <v>100</v>
      </c>
      <c r="D15" s="1">
        <f t="shared" si="0"/>
        <v>147.27272727272728</v>
      </c>
      <c r="E15" s="1">
        <f t="shared" si="1"/>
        <v>247.27272727272728</v>
      </c>
    </row>
    <row r="16" spans="1:8" x14ac:dyDescent="0.25">
      <c r="A16" s="20">
        <f t="shared" si="3"/>
        <v>6</v>
      </c>
      <c r="B16" s="1">
        <f t="shared" si="2"/>
        <v>40.4</v>
      </c>
      <c r="C16" s="1">
        <v>100</v>
      </c>
      <c r="D16" s="1">
        <f t="shared" si="0"/>
        <v>139.43661971830986</v>
      </c>
      <c r="E16" s="1">
        <f t="shared" si="1"/>
        <v>239.43661971830986</v>
      </c>
    </row>
    <row r="17" spans="1:5" x14ac:dyDescent="0.25">
      <c r="A17" s="20">
        <f t="shared" si="3"/>
        <v>7</v>
      </c>
      <c r="B17" s="1">
        <f t="shared" si="2"/>
        <v>41.3</v>
      </c>
      <c r="C17" s="1">
        <v>100</v>
      </c>
      <c r="D17" s="1">
        <f t="shared" si="0"/>
        <v>132.08191126279866</v>
      </c>
      <c r="E17" s="1">
        <f t="shared" si="1"/>
        <v>232.08191126279866</v>
      </c>
    </row>
    <row r="18" spans="1:5" x14ac:dyDescent="0.25">
      <c r="A18" s="20">
        <f t="shared" si="3"/>
        <v>8</v>
      </c>
      <c r="B18" s="1">
        <f t="shared" si="2"/>
        <v>42.2</v>
      </c>
      <c r="C18" s="1">
        <v>100</v>
      </c>
      <c r="D18" s="1">
        <f t="shared" si="0"/>
        <v>125.16556291390725</v>
      </c>
      <c r="E18" s="1">
        <f t="shared" si="1"/>
        <v>225.16556291390725</v>
      </c>
    </row>
    <row r="19" spans="1:5" x14ac:dyDescent="0.25">
      <c r="A19" s="20">
        <f t="shared" si="3"/>
        <v>9</v>
      </c>
      <c r="B19" s="1">
        <f t="shared" si="2"/>
        <v>43.1</v>
      </c>
      <c r="C19" s="1">
        <v>100</v>
      </c>
      <c r="D19" s="1">
        <f t="shared" si="0"/>
        <v>118.64951768488746</v>
      </c>
      <c r="E19" s="1">
        <f t="shared" si="1"/>
        <v>218.64951768488746</v>
      </c>
    </row>
    <row r="20" spans="1:5" x14ac:dyDescent="0.25">
      <c r="A20" s="20">
        <f t="shared" si="3"/>
        <v>10</v>
      </c>
      <c r="B20" s="1">
        <f t="shared" si="2"/>
        <v>44</v>
      </c>
      <c r="C20" s="1">
        <v>100</v>
      </c>
      <c r="D20" s="1">
        <f t="shared" si="0"/>
        <v>112.5</v>
      </c>
      <c r="E20" s="1">
        <f t="shared" si="1"/>
        <v>212.5</v>
      </c>
    </row>
    <row r="21" spans="1:5" x14ac:dyDescent="0.25">
      <c r="A21" s="20">
        <f t="shared" si="3"/>
        <v>11</v>
      </c>
      <c r="B21" s="1">
        <f t="shared" si="2"/>
        <v>44.9</v>
      </c>
      <c r="C21" s="1">
        <v>100</v>
      </c>
      <c r="D21" s="1">
        <f t="shared" si="0"/>
        <v>106.68693009118542</v>
      </c>
      <c r="E21" s="1">
        <f t="shared" si="1"/>
        <v>206.68693009118542</v>
      </c>
    </row>
    <row r="22" spans="1:5" x14ac:dyDescent="0.25">
      <c r="A22" s="20">
        <f t="shared" si="3"/>
        <v>12</v>
      </c>
      <c r="B22" s="1">
        <f t="shared" si="2"/>
        <v>45.8</v>
      </c>
      <c r="C22" s="1">
        <v>100</v>
      </c>
      <c r="D22" s="1">
        <f t="shared" si="0"/>
        <v>101.18343195266274</v>
      </c>
      <c r="E22" s="1">
        <f t="shared" si="1"/>
        <v>201.18343195266274</v>
      </c>
    </row>
    <row r="23" spans="1:5" x14ac:dyDescent="0.25">
      <c r="A23" s="20">
        <f t="shared" si="3"/>
        <v>13</v>
      </c>
      <c r="B23" s="1">
        <f t="shared" si="2"/>
        <v>46.7</v>
      </c>
      <c r="C23" s="1">
        <v>100</v>
      </c>
      <c r="D23" s="1">
        <f t="shared" si="0"/>
        <v>95.965417867435136</v>
      </c>
      <c r="E23" s="1">
        <f t="shared" si="1"/>
        <v>195.96541786743512</v>
      </c>
    </row>
    <row r="24" spans="1:5" x14ac:dyDescent="0.25">
      <c r="A24" s="20">
        <f t="shared" si="3"/>
        <v>14</v>
      </c>
      <c r="B24" s="1">
        <f t="shared" si="2"/>
        <v>47.6</v>
      </c>
      <c r="C24" s="1">
        <v>100</v>
      </c>
      <c r="D24" s="1">
        <f t="shared" si="0"/>
        <v>91.011235955056179</v>
      </c>
      <c r="E24" s="1">
        <f t="shared" si="1"/>
        <v>191.01123595505618</v>
      </c>
    </row>
    <row r="25" spans="1:5" x14ac:dyDescent="0.25">
      <c r="A25" s="20">
        <f t="shared" si="3"/>
        <v>15</v>
      </c>
      <c r="B25" s="1">
        <f t="shared" si="2"/>
        <v>48.5</v>
      </c>
      <c r="C25" s="1">
        <v>100</v>
      </c>
      <c r="D25" s="1">
        <f t="shared" si="0"/>
        <v>86.301369863013704</v>
      </c>
      <c r="E25" s="1">
        <f t="shared" si="1"/>
        <v>186.30136986301369</v>
      </c>
    </row>
    <row r="26" spans="1:5" x14ac:dyDescent="0.25">
      <c r="A26" s="20">
        <f t="shared" si="3"/>
        <v>16</v>
      </c>
      <c r="B26" s="1">
        <f t="shared" si="2"/>
        <v>49.4</v>
      </c>
      <c r="C26" s="1">
        <v>100</v>
      </c>
      <c r="D26" s="1">
        <f t="shared" si="0"/>
        <v>81.818181818181827</v>
      </c>
      <c r="E26" s="1">
        <f t="shared" si="1"/>
        <v>181.81818181818181</v>
      </c>
    </row>
    <row r="27" spans="1:5" x14ac:dyDescent="0.25">
      <c r="A27" s="20">
        <f t="shared" si="3"/>
        <v>17</v>
      </c>
      <c r="B27" s="1">
        <f t="shared" si="2"/>
        <v>50.3</v>
      </c>
      <c r="C27" s="1">
        <v>100</v>
      </c>
      <c r="D27" s="1">
        <f t="shared" si="0"/>
        <v>77.545691906005246</v>
      </c>
      <c r="E27" s="1">
        <f t="shared" si="1"/>
        <v>177.54569190600523</v>
      </c>
    </row>
    <row r="28" spans="1:5" x14ac:dyDescent="0.25">
      <c r="A28" s="20">
        <f t="shared" si="3"/>
        <v>18</v>
      </c>
      <c r="B28" s="1">
        <f t="shared" si="2"/>
        <v>51.2</v>
      </c>
      <c r="C28" s="1">
        <v>100</v>
      </c>
      <c r="D28" s="1">
        <f t="shared" si="0"/>
        <v>73.469387755102019</v>
      </c>
      <c r="E28" s="1">
        <f t="shared" si="1"/>
        <v>173.46938775510202</v>
      </c>
    </row>
    <row r="29" spans="1:5" x14ac:dyDescent="0.25">
      <c r="A29" s="20">
        <f t="shared" si="3"/>
        <v>19</v>
      </c>
      <c r="B29" s="1">
        <f t="shared" si="2"/>
        <v>52.1</v>
      </c>
      <c r="C29" s="1">
        <v>100</v>
      </c>
      <c r="D29" s="1">
        <f t="shared" si="0"/>
        <v>69.576059850374065</v>
      </c>
      <c r="E29" s="1">
        <f t="shared" si="1"/>
        <v>169.57605985037407</v>
      </c>
    </row>
    <row r="30" spans="1:5" x14ac:dyDescent="0.25">
      <c r="A30" s="20">
        <f t="shared" si="3"/>
        <v>20</v>
      </c>
      <c r="B30" s="1">
        <f t="shared" si="2"/>
        <v>53</v>
      </c>
      <c r="C30" s="1">
        <v>100</v>
      </c>
      <c r="D30" s="1">
        <f t="shared" si="0"/>
        <v>65.853658536585371</v>
      </c>
      <c r="E30" s="1">
        <f t="shared" si="1"/>
        <v>165.85365853658539</v>
      </c>
    </row>
    <row r="31" spans="1:5" x14ac:dyDescent="0.25">
      <c r="A31" s="20">
        <f t="shared" si="3"/>
        <v>21</v>
      </c>
      <c r="B31" s="1">
        <f t="shared" si="2"/>
        <v>53.900000000000006</v>
      </c>
      <c r="C31" s="1">
        <v>100</v>
      </c>
      <c r="D31" s="1">
        <f t="shared" si="0"/>
        <v>62.291169451073969</v>
      </c>
      <c r="E31" s="1">
        <f t="shared" si="1"/>
        <v>162.29116945107398</v>
      </c>
    </row>
    <row r="32" spans="1:5" x14ac:dyDescent="0.25">
      <c r="A32" s="20">
        <f t="shared" si="3"/>
        <v>22</v>
      </c>
      <c r="B32" s="1">
        <f t="shared" si="2"/>
        <v>54.8</v>
      </c>
      <c r="C32" s="1">
        <v>100</v>
      </c>
      <c r="D32" s="1">
        <f t="shared" si="0"/>
        <v>58.878504672897208</v>
      </c>
      <c r="E32" s="1">
        <f t="shared" si="1"/>
        <v>158.87850467289721</v>
      </c>
    </row>
    <row r="33" spans="1:5" x14ac:dyDescent="0.25">
      <c r="A33" s="20">
        <f t="shared" si="3"/>
        <v>23</v>
      </c>
      <c r="B33" s="1">
        <f t="shared" si="2"/>
        <v>55.7</v>
      </c>
      <c r="C33" s="1">
        <v>100</v>
      </c>
      <c r="D33" s="1">
        <f t="shared" si="0"/>
        <v>55.606407322654448</v>
      </c>
      <c r="E33" s="1">
        <f t="shared" si="1"/>
        <v>155.60640732265443</v>
      </c>
    </row>
    <row r="34" spans="1:5" x14ac:dyDescent="0.25">
      <c r="A34" s="20">
        <f t="shared" si="3"/>
        <v>24</v>
      </c>
      <c r="B34" s="1">
        <f t="shared" si="2"/>
        <v>56.6</v>
      </c>
      <c r="C34" s="1">
        <v>100</v>
      </c>
      <c r="D34" s="1">
        <f t="shared" si="0"/>
        <v>52.46636771300448</v>
      </c>
      <c r="E34" s="1">
        <f t="shared" si="1"/>
        <v>152.46636771300447</v>
      </c>
    </row>
    <row r="35" spans="1:5" x14ac:dyDescent="0.25">
      <c r="A35" s="20">
        <f t="shared" si="3"/>
        <v>25</v>
      </c>
      <c r="B35" s="1">
        <f t="shared" si="2"/>
        <v>57.5</v>
      </c>
      <c r="C35" s="1">
        <v>100</v>
      </c>
      <c r="D35" s="1">
        <f t="shared" si="0"/>
        <v>49.450549450549453</v>
      </c>
      <c r="E35" s="1">
        <f t="shared" si="1"/>
        <v>149.45054945054946</v>
      </c>
    </row>
    <row r="36" spans="1:5" x14ac:dyDescent="0.25">
      <c r="A36" s="20">
        <f t="shared" si="3"/>
        <v>26</v>
      </c>
      <c r="B36" s="1">
        <f t="shared" si="2"/>
        <v>58.400000000000006</v>
      </c>
      <c r="C36" s="1">
        <v>100</v>
      </c>
      <c r="D36" s="1">
        <f t="shared" si="0"/>
        <v>46.551724137931018</v>
      </c>
      <c r="E36" s="1">
        <f t="shared" si="1"/>
        <v>146.55172413793102</v>
      </c>
    </row>
    <row r="37" spans="1:5" x14ac:dyDescent="0.25">
      <c r="A37" s="20">
        <f t="shared" si="3"/>
        <v>27</v>
      </c>
      <c r="B37" s="1">
        <f t="shared" si="2"/>
        <v>59.3</v>
      </c>
      <c r="C37" s="1">
        <v>100</v>
      </c>
      <c r="D37" s="1">
        <f t="shared" si="0"/>
        <v>43.763213530655406</v>
      </c>
      <c r="E37" s="1">
        <f t="shared" si="1"/>
        <v>143.76321353065541</v>
      </c>
    </row>
    <row r="38" spans="1:5" x14ac:dyDescent="0.25">
      <c r="A38" s="20">
        <f t="shared" si="3"/>
        <v>28</v>
      </c>
      <c r="B38" s="1">
        <f t="shared" si="2"/>
        <v>60.2</v>
      </c>
      <c r="C38" s="1">
        <v>100</v>
      </c>
      <c r="D38" s="1">
        <f t="shared" si="0"/>
        <v>41.078838174273855</v>
      </c>
      <c r="E38" s="1">
        <f t="shared" si="1"/>
        <v>141.07883817427387</v>
      </c>
    </row>
    <row r="39" spans="1:5" x14ac:dyDescent="0.25">
      <c r="A39" s="20">
        <f t="shared" si="3"/>
        <v>29</v>
      </c>
      <c r="B39" s="1">
        <f t="shared" si="2"/>
        <v>61.1</v>
      </c>
      <c r="C39" s="1">
        <v>100</v>
      </c>
      <c r="D39" s="1">
        <f t="shared" si="0"/>
        <v>38.492871690427691</v>
      </c>
      <c r="E39" s="1">
        <f t="shared" si="1"/>
        <v>138.49287169042771</v>
      </c>
    </row>
    <row r="40" spans="1:5" x14ac:dyDescent="0.25">
      <c r="A40" s="20">
        <f t="shared" si="3"/>
        <v>30</v>
      </c>
      <c r="B40" s="1">
        <f t="shared" si="2"/>
        <v>62</v>
      </c>
      <c r="C40" s="1">
        <v>100</v>
      </c>
      <c r="D40" s="1">
        <f t="shared" si="0"/>
        <v>36</v>
      </c>
      <c r="E40" s="1">
        <f t="shared" si="1"/>
        <v>136</v>
      </c>
    </row>
    <row r="41" spans="1:5" x14ac:dyDescent="0.25">
      <c r="A41" s="20">
        <f t="shared" si="3"/>
        <v>31</v>
      </c>
      <c r="B41" s="1">
        <f t="shared" si="2"/>
        <v>62.900000000000006</v>
      </c>
      <c r="C41" s="1">
        <v>100</v>
      </c>
      <c r="D41" s="1">
        <f t="shared" si="0"/>
        <v>33.595284872298613</v>
      </c>
      <c r="E41" s="1">
        <f t="shared" si="1"/>
        <v>133.59528487229861</v>
      </c>
    </row>
    <row r="42" spans="1:5" x14ac:dyDescent="0.25">
      <c r="A42" s="20">
        <f t="shared" si="3"/>
        <v>32</v>
      </c>
      <c r="B42" s="1">
        <f t="shared" si="2"/>
        <v>63.8</v>
      </c>
      <c r="C42" s="1">
        <v>100</v>
      </c>
      <c r="D42" s="1">
        <f t="shared" si="0"/>
        <v>31.274131274131282</v>
      </c>
      <c r="E42" s="1">
        <f t="shared" si="1"/>
        <v>131.27413127413129</v>
      </c>
    </row>
    <row r="43" spans="1:5" x14ac:dyDescent="0.25">
      <c r="A43" s="20">
        <f t="shared" si="3"/>
        <v>33</v>
      </c>
      <c r="B43" s="1">
        <f t="shared" si="2"/>
        <v>64.7</v>
      </c>
      <c r="C43" s="1">
        <v>100</v>
      </c>
      <c r="D43" s="1">
        <f t="shared" si="0"/>
        <v>29.032258064516125</v>
      </c>
      <c r="E43" s="1">
        <f t="shared" si="1"/>
        <v>129.03225806451613</v>
      </c>
    </row>
    <row r="44" spans="1:5" x14ac:dyDescent="0.25">
      <c r="A44" s="20">
        <f t="shared" si="3"/>
        <v>34</v>
      </c>
      <c r="B44" s="1">
        <f t="shared" si="2"/>
        <v>65.599999999999994</v>
      </c>
      <c r="C44" s="1">
        <v>100</v>
      </c>
      <c r="D44" s="1">
        <f t="shared" si="0"/>
        <v>26.865671641791057</v>
      </c>
      <c r="E44" s="1">
        <f t="shared" si="1"/>
        <v>126.86567164179105</v>
      </c>
    </row>
    <row r="45" spans="1:5" x14ac:dyDescent="0.25">
      <c r="A45" s="20">
        <f t="shared" si="3"/>
        <v>35</v>
      </c>
      <c r="B45" s="1">
        <f t="shared" si="2"/>
        <v>66.5</v>
      </c>
      <c r="C45" s="1">
        <v>100</v>
      </c>
      <c r="D45" s="1">
        <f t="shared" si="0"/>
        <v>24.770642201834864</v>
      </c>
      <c r="E45" s="1">
        <f t="shared" si="1"/>
        <v>124.77064220183486</v>
      </c>
    </row>
    <row r="46" spans="1:5" x14ac:dyDescent="0.25">
      <c r="A46" s="20">
        <f t="shared" si="3"/>
        <v>36</v>
      </c>
      <c r="B46" s="1">
        <f t="shared" si="2"/>
        <v>67.400000000000006</v>
      </c>
      <c r="C46" s="1">
        <v>100</v>
      </c>
      <c r="D46" s="1">
        <f t="shared" si="0"/>
        <v>22.743682310469303</v>
      </c>
      <c r="E46" s="1">
        <f t="shared" si="1"/>
        <v>122.7436823104693</v>
      </c>
    </row>
    <row r="47" spans="1:5" x14ac:dyDescent="0.25">
      <c r="A47" s="20">
        <f t="shared" si="3"/>
        <v>37</v>
      </c>
      <c r="B47" s="1">
        <f t="shared" si="2"/>
        <v>68.300000000000011</v>
      </c>
      <c r="C47" s="1">
        <v>100</v>
      </c>
      <c r="D47" s="1">
        <f t="shared" si="0"/>
        <v>20.781527531083459</v>
      </c>
      <c r="E47" s="1">
        <f t="shared" si="1"/>
        <v>120.78152753108346</v>
      </c>
    </row>
    <row r="48" spans="1:5" x14ac:dyDescent="0.25">
      <c r="A48" s="20">
        <f t="shared" si="3"/>
        <v>38</v>
      </c>
      <c r="B48" s="1">
        <f t="shared" si="2"/>
        <v>69.2</v>
      </c>
      <c r="C48" s="1">
        <v>100</v>
      </c>
      <c r="D48" s="1">
        <f t="shared" si="0"/>
        <v>18.881118881118876</v>
      </c>
      <c r="E48" s="1">
        <f t="shared" si="1"/>
        <v>118.88111888111888</v>
      </c>
    </row>
    <row r="49" spans="1:5" x14ac:dyDescent="0.25">
      <c r="A49" s="20">
        <f t="shared" si="3"/>
        <v>39</v>
      </c>
      <c r="B49" s="1">
        <f t="shared" si="2"/>
        <v>70.099999999999994</v>
      </c>
      <c r="C49" s="1">
        <v>100</v>
      </c>
      <c r="D49" s="1">
        <f t="shared" si="0"/>
        <v>17.039586919105002</v>
      </c>
      <c r="E49" s="1">
        <f t="shared" si="1"/>
        <v>117.03958691910501</v>
      </c>
    </row>
    <row r="50" spans="1:5" x14ac:dyDescent="0.25">
      <c r="A50" s="20">
        <f t="shared" si="3"/>
        <v>40</v>
      </c>
      <c r="B50" s="1">
        <f t="shared" si="2"/>
        <v>71</v>
      </c>
      <c r="C50" s="1">
        <v>100</v>
      </c>
      <c r="D50" s="1">
        <f t="shared" si="0"/>
        <v>15.254237288135593</v>
      </c>
      <c r="E50" s="1">
        <f t="shared" si="1"/>
        <v>115.2542372881356</v>
      </c>
    </row>
    <row r="51" spans="1:5" x14ac:dyDescent="0.25">
      <c r="A51" s="20">
        <f t="shared" si="3"/>
        <v>41</v>
      </c>
      <c r="B51" s="1">
        <f t="shared" si="2"/>
        <v>71.900000000000006</v>
      </c>
      <c r="C51" s="1">
        <v>100</v>
      </c>
      <c r="D51" s="1">
        <f t="shared" si="0"/>
        <v>13.522537562604329</v>
      </c>
      <c r="E51" s="1">
        <f t="shared" si="1"/>
        <v>113.52253756260433</v>
      </c>
    </row>
    <row r="52" spans="1:5" x14ac:dyDescent="0.25">
      <c r="A52" s="20">
        <f t="shared" si="3"/>
        <v>42</v>
      </c>
      <c r="B52" s="1">
        <f t="shared" si="2"/>
        <v>72.800000000000011</v>
      </c>
      <c r="C52" s="1">
        <v>100</v>
      </c>
      <c r="D52" s="1">
        <f t="shared" si="0"/>
        <v>11.842105263157874</v>
      </c>
      <c r="E52" s="1">
        <f t="shared" si="1"/>
        <v>111.84210526315788</v>
      </c>
    </row>
    <row r="53" spans="1:5" x14ac:dyDescent="0.25">
      <c r="A53" s="20">
        <f t="shared" si="3"/>
        <v>43</v>
      </c>
      <c r="B53" s="1">
        <f t="shared" si="2"/>
        <v>73.7</v>
      </c>
      <c r="C53" s="1">
        <v>100</v>
      </c>
      <c r="D53" s="1">
        <f t="shared" si="0"/>
        <v>10.210696920583464</v>
      </c>
      <c r="E53" s="1">
        <f t="shared" si="1"/>
        <v>110.21069692058346</v>
      </c>
    </row>
    <row r="54" spans="1:5" x14ac:dyDescent="0.25">
      <c r="A54" s="20">
        <f t="shared" si="3"/>
        <v>44</v>
      </c>
      <c r="B54" s="1">
        <f t="shared" si="2"/>
        <v>74.599999999999994</v>
      </c>
      <c r="C54" s="1">
        <v>100</v>
      </c>
      <c r="D54" s="1">
        <f t="shared" si="0"/>
        <v>8.6261980830671021</v>
      </c>
      <c r="E54" s="1">
        <f t="shared" si="1"/>
        <v>108.6261980830671</v>
      </c>
    </row>
    <row r="55" spans="1:5" x14ac:dyDescent="0.25">
      <c r="A55" s="20">
        <f t="shared" si="3"/>
        <v>45</v>
      </c>
      <c r="B55" s="1">
        <f t="shared" si="2"/>
        <v>75.5</v>
      </c>
      <c r="C55" s="1">
        <v>100</v>
      </c>
      <c r="D55" s="1">
        <f t="shared" si="0"/>
        <v>7.0866141732283463</v>
      </c>
      <c r="E55" s="1">
        <f t="shared" si="1"/>
        <v>107.08661417322834</v>
      </c>
    </row>
    <row r="56" spans="1:5" x14ac:dyDescent="0.25">
      <c r="A56" s="20">
        <f t="shared" si="3"/>
        <v>46</v>
      </c>
      <c r="B56" s="1">
        <f t="shared" si="2"/>
        <v>76.400000000000006</v>
      </c>
      <c r="C56" s="1">
        <v>100</v>
      </c>
      <c r="D56" s="1">
        <f t="shared" si="0"/>
        <v>5.5900621118012328</v>
      </c>
      <c r="E56" s="1">
        <f t="shared" si="1"/>
        <v>105.59006211180123</v>
      </c>
    </row>
    <row r="57" spans="1:5" x14ac:dyDescent="0.25">
      <c r="A57" s="20">
        <f t="shared" si="3"/>
        <v>47</v>
      </c>
      <c r="B57" s="1">
        <f t="shared" si="2"/>
        <v>77.300000000000011</v>
      </c>
      <c r="C57" s="1">
        <v>100</v>
      </c>
      <c r="D57" s="1">
        <f t="shared" si="0"/>
        <v>4.1347626339969192</v>
      </c>
      <c r="E57" s="1">
        <f t="shared" si="1"/>
        <v>104.13476263399691</v>
      </c>
    </row>
    <row r="58" spans="1:5" x14ac:dyDescent="0.25">
      <c r="A58" s="20">
        <f t="shared" si="3"/>
        <v>48</v>
      </c>
      <c r="B58" s="1">
        <f t="shared" si="2"/>
        <v>78.2</v>
      </c>
      <c r="C58" s="1">
        <v>100</v>
      </c>
      <c r="D58" s="1">
        <f t="shared" si="0"/>
        <v>2.7190332326283944</v>
      </c>
      <c r="E58" s="1">
        <f t="shared" si="1"/>
        <v>102.71903323262839</v>
      </c>
    </row>
    <row r="59" spans="1:5" x14ac:dyDescent="0.25">
      <c r="A59" s="20">
        <f t="shared" si="3"/>
        <v>49</v>
      </c>
      <c r="B59" s="1">
        <f t="shared" si="2"/>
        <v>79.099999999999994</v>
      </c>
      <c r="C59" s="1">
        <v>100</v>
      </c>
      <c r="D59" s="1">
        <f t="shared" si="0"/>
        <v>1.3412816691505303</v>
      </c>
      <c r="E59" s="1">
        <f t="shared" si="1"/>
        <v>101.34128166915053</v>
      </c>
    </row>
    <row r="60" spans="1:5" x14ac:dyDescent="0.25">
      <c r="A60" s="20">
        <f t="shared" si="3"/>
        <v>50</v>
      </c>
      <c r="B60" s="1">
        <f t="shared" si="2"/>
        <v>80</v>
      </c>
      <c r="C60" s="1">
        <v>100</v>
      </c>
      <c r="D60" s="1">
        <f t="shared" si="0"/>
        <v>0</v>
      </c>
      <c r="E60" s="1">
        <f t="shared" si="1"/>
        <v>100</v>
      </c>
    </row>
  </sheetData>
  <mergeCells count="4">
    <mergeCell ref="B4:C4"/>
    <mergeCell ref="B5:C5"/>
    <mergeCell ref="B7:C7"/>
    <mergeCell ref="B2:H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2:D22"/>
  <sheetViews>
    <sheetView workbookViewId="0">
      <selection activeCell="C7" sqref="C7"/>
    </sheetView>
  </sheetViews>
  <sheetFormatPr baseColWidth="10" defaultRowHeight="15" x14ac:dyDescent="0.25"/>
  <cols>
    <col min="3" max="3" width="11.85546875" bestFit="1" customWidth="1"/>
    <col min="4" max="4" width="18.85546875" customWidth="1"/>
  </cols>
  <sheetData>
    <row r="2" spans="2:4" x14ac:dyDescent="0.25">
      <c r="B2" t="s">
        <v>32</v>
      </c>
      <c r="C2" t="s">
        <v>30</v>
      </c>
      <c r="D2" t="s">
        <v>31</v>
      </c>
    </row>
    <row r="3" spans="2:4" x14ac:dyDescent="0.25">
      <c r="B3" t="s">
        <v>15</v>
      </c>
      <c r="C3" s="1">
        <v>896</v>
      </c>
      <c r="D3" s="2">
        <f t="shared" ref="D3:D22" si="0">C3/1000</f>
        <v>0.89600000000000002</v>
      </c>
    </row>
    <row r="4" spans="2:4" x14ac:dyDescent="0.25">
      <c r="B4" t="s">
        <v>29</v>
      </c>
      <c r="C4" s="1">
        <v>523</v>
      </c>
      <c r="D4" s="2">
        <f t="shared" si="0"/>
        <v>0.52300000000000002</v>
      </c>
    </row>
    <row r="5" spans="2:4" x14ac:dyDescent="0.25">
      <c r="B5" t="s">
        <v>17</v>
      </c>
      <c r="C5" s="1">
        <v>129</v>
      </c>
      <c r="D5" s="2">
        <f t="shared" si="0"/>
        <v>0.129</v>
      </c>
    </row>
    <row r="6" spans="2:4" x14ac:dyDescent="0.25">
      <c r="B6" t="s">
        <v>27</v>
      </c>
      <c r="C6" s="1">
        <v>1658</v>
      </c>
      <c r="D6" s="2">
        <f t="shared" si="0"/>
        <v>1.6579999999999999</v>
      </c>
    </row>
    <row r="7" spans="2:4" x14ac:dyDescent="0.25">
      <c r="B7" t="s">
        <v>11</v>
      </c>
      <c r="C7" s="1">
        <v>1200</v>
      </c>
      <c r="D7" s="2">
        <f t="shared" si="0"/>
        <v>1.2</v>
      </c>
    </row>
    <row r="8" spans="2:4" x14ac:dyDescent="0.25">
      <c r="B8" t="s">
        <v>19</v>
      </c>
      <c r="C8" s="1">
        <v>452</v>
      </c>
      <c r="D8" s="2">
        <f t="shared" si="0"/>
        <v>0.45200000000000001</v>
      </c>
    </row>
    <row r="9" spans="2:4" x14ac:dyDescent="0.25">
      <c r="B9" t="s">
        <v>22</v>
      </c>
      <c r="C9" s="1">
        <v>2430</v>
      </c>
      <c r="D9" s="2">
        <f t="shared" si="0"/>
        <v>2.4300000000000002</v>
      </c>
    </row>
    <row r="10" spans="2:4" x14ac:dyDescent="0.25">
      <c r="B10" t="s">
        <v>14</v>
      </c>
      <c r="C10" s="1">
        <v>800</v>
      </c>
      <c r="D10" s="2">
        <f t="shared" si="0"/>
        <v>0.8</v>
      </c>
    </row>
    <row r="11" spans="2:4" x14ac:dyDescent="0.25">
      <c r="B11" t="s">
        <v>26</v>
      </c>
      <c r="C11" s="1">
        <v>5193</v>
      </c>
      <c r="D11" s="2">
        <f t="shared" si="0"/>
        <v>5.1929999999999996</v>
      </c>
    </row>
    <row r="12" spans="2:4" x14ac:dyDescent="0.25">
      <c r="B12" t="s">
        <v>18</v>
      </c>
      <c r="C12" s="1">
        <v>2500</v>
      </c>
      <c r="D12" s="2">
        <f t="shared" si="0"/>
        <v>2.5</v>
      </c>
    </row>
    <row r="13" spans="2:4" x14ac:dyDescent="0.25">
      <c r="B13" t="s">
        <v>12</v>
      </c>
      <c r="C13" s="1">
        <v>1500</v>
      </c>
      <c r="D13" s="2">
        <f t="shared" si="0"/>
        <v>1.5</v>
      </c>
    </row>
    <row r="14" spans="2:4" x14ac:dyDescent="0.25">
      <c r="B14" t="s">
        <v>16</v>
      </c>
      <c r="C14" s="1">
        <v>382</v>
      </c>
      <c r="D14" s="2">
        <f t="shared" si="0"/>
        <v>0.38200000000000001</v>
      </c>
    </row>
    <row r="15" spans="2:4" x14ac:dyDescent="0.25">
      <c r="B15" t="s">
        <v>28</v>
      </c>
      <c r="C15" s="1">
        <v>1005</v>
      </c>
      <c r="D15" s="2">
        <f t="shared" si="0"/>
        <v>1.0049999999999999</v>
      </c>
    </row>
    <row r="16" spans="2:4" x14ac:dyDescent="0.25">
      <c r="B16" t="s">
        <v>20</v>
      </c>
      <c r="C16" s="1">
        <v>384</v>
      </c>
      <c r="D16" s="2">
        <f t="shared" si="0"/>
        <v>0.38400000000000001</v>
      </c>
    </row>
    <row r="17" spans="2:4" x14ac:dyDescent="0.25">
      <c r="B17" t="s">
        <v>23</v>
      </c>
      <c r="C17" s="1">
        <v>2140</v>
      </c>
      <c r="D17" s="2">
        <f t="shared" si="0"/>
        <v>2.14</v>
      </c>
    </row>
    <row r="18" spans="2:4" x14ac:dyDescent="0.25">
      <c r="B18" t="s">
        <v>24</v>
      </c>
      <c r="C18" s="1">
        <v>139</v>
      </c>
      <c r="D18" s="2">
        <f t="shared" si="0"/>
        <v>0.13900000000000001</v>
      </c>
    </row>
    <row r="19" spans="2:4" x14ac:dyDescent="0.25">
      <c r="B19" t="s">
        <v>13</v>
      </c>
      <c r="C19" s="1">
        <v>850</v>
      </c>
      <c r="D19" s="2">
        <f t="shared" si="0"/>
        <v>0.85</v>
      </c>
    </row>
    <row r="20" spans="2:4" x14ac:dyDescent="0.25">
      <c r="B20" t="s">
        <v>21</v>
      </c>
      <c r="C20" s="1">
        <v>235</v>
      </c>
      <c r="D20" s="2">
        <f t="shared" si="0"/>
        <v>0.23499999999999999</v>
      </c>
    </row>
    <row r="21" spans="2:4" x14ac:dyDescent="0.25">
      <c r="B21" t="s">
        <v>10</v>
      </c>
      <c r="C21" s="1">
        <v>4182</v>
      </c>
      <c r="D21" s="2">
        <f t="shared" si="0"/>
        <v>4.1820000000000004</v>
      </c>
    </row>
    <row r="22" spans="2:4" x14ac:dyDescent="0.25">
      <c r="B22" t="s">
        <v>25</v>
      </c>
      <c r="C22" s="1">
        <v>14320</v>
      </c>
      <c r="D22" s="2">
        <f t="shared" si="0"/>
        <v>14.32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K23"/>
  <sheetViews>
    <sheetView showGridLines="0" workbookViewId="0">
      <selection activeCell="C6" sqref="C6"/>
    </sheetView>
  </sheetViews>
  <sheetFormatPr baseColWidth="10" defaultRowHeight="15" x14ac:dyDescent="0.25"/>
  <cols>
    <col min="2" max="2" width="30.5703125" bestFit="1" customWidth="1"/>
    <col min="3" max="3" width="16.42578125" bestFit="1" customWidth="1"/>
  </cols>
  <sheetData>
    <row r="2" spans="2:7" ht="20.25" thickBot="1" x14ac:dyDescent="0.35">
      <c r="B2" s="41" t="s">
        <v>64</v>
      </c>
      <c r="C2" s="41"/>
      <c r="D2" s="41"/>
      <c r="E2" s="41"/>
      <c r="F2" s="41"/>
      <c r="G2" s="41"/>
    </row>
    <row r="3" spans="2:7" ht="15.75" thickTop="1" x14ac:dyDescent="0.25"/>
    <row r="4" spans="2:7" x14ac:dyDescent="0.25">
      <c r="B4" t="s">
        <v>39</v>
      </c>
      <c r="C4" s="12">
        <v>12</v>
      </c>
      <c r="D4" t="s">
        <v>46</v>
      </c>
    </row>
    <row r="5" spans="2:7" x14ac:dyDescent="0.25">
      <c r="B5" t="s">
        <v>43</v>
      </c>
      <c r="C5" s="12">
        <v>37</v>
      </c>
      <c r="D5" t="s">
        <v>46</v>
      </c>
    </row>
    <row r="6" spans="2:7" x14ac:dyDescent="0.25">
      <c r="B6" s="11" t="s">
        <v>45</v>
      </c>
      <c r="C6" s="1">
        <f>C5-C4</f>
        <v>25</v>
      </c>
      <c r="D6" t="s">
        <v>46</v>
      </c>
    </row>
    <row r="8" spans="2:7" x14ac:dyDescent="0.25">
      <c r="B8" t="s">
        <v>44</v>
      </c>
      <c r="C8" s="6" t="s">
        <v>10</v>
      </c>
    </row>
    <row r="9" spans="2:7" x14ac:dyDescent="0.25">
      <c r="B9" t="s">
        <v>9</v>
      </c>
      <c r="C9" s="1">
        <f>SUMIF(Tabelle1[Material],Wassererwärmung!C8,Tabelle1[J/(kg*K)])</f>
        <v>4182</v>
      </c>
      <c r="D9" t="s">
        <v>30</v>
      </c>
    </row>
    <row r="10" spans="2:7" x14ac:dyDescent="0.25">
      <c r="B10" t="s">
        <v>47</v>
      </c>
      <c r="C10" s="12">
        <v>100</v>
      </c>
      <c r="D10" t="s">
        <v>48</v>
      </c>
    </row>
    <row r="12" spans="2:7" ht="18" thickBot="1" x14ac:dyDescent="0.35">
      <c r="B12" s="47" t="s">
        <v>65</v>
      </c>
      <c r="C12" s="47"/>
      <c r="D12" s="47"/>
    </row>
    <row r="13" spans="2:7" ht="15.75" thickTop="1" x14ac:dyDescent="0.25">
      <c r="B13" s="11" t="s">
        <v>57</v>
      </c>
      <c r="C13" s="1">
        <f>C9*C10*C6</f>
        <v>10455000</v>
      </c>
      <c r="D13" t="s">
        <v>49</v>
      </c>
    </row>
    <row r="14" spans="2:7" x14ac:dyDescent="0.25">
      <c r="B14" s="11" t="s">
        <v>50</v>
      </c>
      <c r="C14" s="1">
        <f>C13/(3.6*(10^6))</f>
        <v>2.9041666666666668</v>
      </c>
      <c r="D14" t="s">
        <v>51</v>
      </c>
    </row>
    <row r="16" spans="2:7" ht="18" thickBot="1" x14ac:dyDescent="0.35">
      <c r="B16" s="13" t="s">
        <v>54</v>
      </c>
    </row>
    <row r="17" spans="2:11" ht="15.75" thickTop="1" x14ac:dyDescent="0.25">
      <c r="B17" t="s">
        <v>55</v>
      </c>
      <c r="C17" s="6">
        <v>2</v>
      </c>
      <c r="D17" t="s">
        <v>56</v>
      </c>
    </row>
    <row r="18" spans="2:11" x14ac:dyDescent="0.25">
      <c r="B18" s="11" t="s">
        <v>52</v>
      </c>
      <c r="C18" s="1">
        <f>C14/C17</f>
        <v>1.4520833333333334</v>
      </c>
      <c r="D18" t="s">
        <v>53</v>
      </c>
      <c r="K18">
        <v>4.68</v>
      </c>
    </row>
    <row r="19" spans="2:11" x14ac:dyDescent="0.25">
      <c r="C19" s="2">
        <f>C18*60</f>
        <v>87.125</v>
      </c>
      <c r="D19" t="s">
        <v>58</v>
      </c>
      <c r="K19">
        <v>28</v>
      </c>
    </row>
    <row r="20" spans="2:11" x14ac:dyDescent="0.25">
      <c r="K20">
        <f>K18/K19</f>
        <v>0.16714285714285712</v>
      </c>
    </row>
    <row r="21" spans="2:11" ht="18" thickBot="1" x14ac:dyDescent="0.35">
      <c r="B21" s="13" t="s">
        <v>59</v>
      </c>
    </row>
    <row r="22" spans="2:11" ht="15.75" thickTop="1" x14ac:dyDescent="0.25">
      <c r="B22" t="s">
        <v>61</v>
      </c>
      <c r="C22" s="1">
        <v>20</v>
      </c>
      <c r="D22" t="s">
        <v>60</v>
      </c>
    </row>
    <row r="23" spans="2:11" x14ac:dyDescent="0.25">
      <c r="B23" t="s">
        <v>62</v>
      </c>
      <c r="C23" s="2">
        <f>C22*C14</f>
        <v>58.083333333333336</v>
      </c>
      <c r="D23" t="s">
        <v>63</v>
      </c>
    </row>
  </sheetData>
  <mergeCells count="2">
    <mergeCell ref="B2:G2"/>
    <mergeCell ref="B12:D12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Hilfsblatt!$B$3:$B$22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B2:L87"/>
  <sheetViews>
    <sheetView showGridLines="0" topLeftCell="A28" workbookViewId="0">
      <selection activeCell="B78" sqref="B78"/>
    </sheetView>
  </sheetViews>
  <sheetFormatPr baseColWidth="10" defaultRowHeight="15" x14ac:dyDescent="0.25"/>
  <cols>
    <col min="2" max="2" width="32.28515625" customWidth="1"/>
    <col min="3" max="3" width="27.7109375" bestFit="1" customWidth="1"/>
    <col min="4" max="4" width="20" customWidth="1"/>
    <col min="5" max="5" width="7.42578125" bestFit="1" customWidth="1"/>
    <col min="6" max="6" width="13.85546875" bestFit="1" customWidth="1"/>
  </cols>
  <sheetData>
    <row r="2" spans="2:8" ht="20.25" thickBot="1" x14ac:dyDescent="0.35">
      <c r="B2" s="41" t="s">
        <v>71</v>
      </c>
      <c r="C2" s="41"/>
      <c r="D2" s="41"/>
      <c r="E2" s="41"/>
      <c r="F2" s="41"/>
      <c r="G2" s="41"/>
      <c r="H2" s="41"/>
    </row>
    <row r="3" spans="2:8" ht="15.75" thickTop="1" x14ac:dyDescent="0.25"/>
    <row r="4" spans="2:8" x14ac:dyDescent="0.25">
      <c r="B4" t="s">
        <v>66</v>
      </c>
      <c r="C4" s="12">
        <v>100</v>
      </c>
      <c r="D4" t="s">
        <v>67</v>
      </c>
    </row>
    <row r="5" spans="2:8" x14ac:dyDescent="0.25">
      <c r="B5" t="s">
        <v>68</v>
      </c>
      <c r="C5" s="12">
        <v>1.54</v>
      </c>
      <c r="D5" t="s">
        <v>69</v>
      </c>
    </row>
    <row r="6" spans="2:8" x14ac:dyDescent="0.25">
      <c r="C6" s="1"/>
    </row>
    <row r="7" spans="2:8" ht="15.75" thickBot="1" x14ac:dyDescent="0.3">
      <c r="C7" s="14">
        <f>C5/(C4/10)</f>
        <v>0.154</v>
      </c>
      <c r="D7" t="s">
        <v>70</v>
      </c>
    </row>
    <row r="8" spans="2:8" ht="15.75" thickTop="1" x14ac:dyDescent="0.25"/>
    <row r="9" spans="2:8" x14ac:dyDescent="0.25">
      <c r="B9" t="s">
        <v>72</v>
      </c>
      <c r="C9" s="6">
        <v>20</v>
      </c>
      <c r="D9" t="s">
        <v>60</v>
      </c>
    </row>
    <row r="10" spans="2:8" ht="18" thickBot="1" x14ac:dyDescent="0.35">
      <c r="C10" s="48" t="s">
        <v>73</v>
      </c>
      <c r="D10" s="48"/>
      <c r="F10" s="48" t="s">
        <v>75</v>
      </c>
      <c r="G10" s="48"/>
    </row>
    <row r="11" spans="2:8" ht="15.75" thickTop="1" x14ac:dyDescent="0.25">
      <c r="C11" s="2">
        <f>C9*C5</f>
        <v>30.8</v>
      </c>
      <c r="D11" t="s">
        <v>74</v>
      </c>
      <c r="F11" s="1">
        <f>C7*C9</f>
        <v>3.08</v>
      </c>
      <c r="G11" t="s">
        <v>74</v>
      </c>
    </row>
    <row r="12" spans="2:8" x14ac:dyDescent="0.25">
      <c r="C12" s="2">
        <f>C11*30/100</f>
        <v>9.24</v>
      </c>
      <c r="D12" t="s">
        <v>76</v>
      </c>
      <c r="F12" s="1">
        <f>F11*30/100</f>
        <v>0.92400000000000004</v>
      </c>
      <c r="G12" t="s">
        <v>76</v>
      </c>
    </row>
    <row r="13" spans="2:8" x14ac:dyDescent="0.25">
      <c r="C13" s="2">
        <f>C11*365/100</f>
        <v>112.42</v>
      </c>
      <c r="D13" t="s">
        <v>77</v>
      </c>
      <c r="F13" s="1">
        <f>F11*365/100</f>
        <v>11.242000000000001</v>
      </c>
      <c r="G13" t="s">
        <v>77</v>
      </c>
    </row>
    <row r="14" spans="2:8" x14ac:dyDescent="0.25">
      <c r="C14" s="2">
        <f>C13*10</f>
        <v>1124.2</v>
      </c>
      <c r="D14" t="s">
        <v>78</v>
      </c>
      <c r="F14" s="2">
        <f>F13*10</f>
        <v>112.42000000000002</v>
      </c>
      <c r="G14" t="s">
        <v>78</v>
      </c>
    </row>
    <row r="16" spans="2:8" ht="18" thickBot="1" x14ac:dyDescent="0.35">
      <c r="B16" s="48" t="s">
        <v>96</v>
      </c>
      <c r="C16" s="48"/>
      <c r="D16" s="48"/>
      <c r="E16" s="48"/>
      <c r="F16" s="48"/>
      <c r="G16" s="48"/>
      <c r="H16" s="48"/>
    </row>
    <row r="17" spans="2:8" ht="15.75" thickTop="1" x14ac:dyDescent="0.25"/>
    <row r="18" spans="2:8" x14ac:dyDescent="0.25">
      <c r="B18" t="s">
        <v>97</v>
      </c>
      <c r="C18" s="1">
        <v>51.743185078909612</v>
      </c>
      <c r="D18" t="s">
        <v>46</v>
      </c>
      <c r="F18" t="s">
        <v>98</v>
      </c>
    </row>
    <row r="19" spans="2:8" x14ac:dyDescent="0.25">
      <c r="B19" t="s">
        <v>43</v>
      </c>
      <c r="C19" s="1">
        <v>65</v>
      </c>
      <c r="D19" t="s">
        <v>99</v>
      </c>
    </row>
    <row r="20" spans="2:8" ht="15.75" thickBot="1" x14ac:dyDescent="0.3">
      <c r="B20" s="11" t="s">
        <v>45</v>
      </c>
      <c r="C20" s="15">
        <f>C19-C18</f>
        <v>13.256814921090388</v>
      </c>
      <c r="D20" t="s">
        <v>100</v>
      </c>
    </row>
    <row r="21" spans="2:8" ht="15.75" thickTop="1" x14ac:dyDescent="0.25"/>
    <row r="22" spans="2:8" x14ac:dyDescent="0.25">
      <c r="B22" t="s">
        <v>44</v>
      </c>
      <c r="C22" s="6" t="s">
        <v>10</v>
      </c>
    </row>
    <row r="23" spans="2:8" x14ac:dyDescent="0.25">
      <c r="B23" t="s">
        <v>9</v>
      </c>
      <c r="C23" s="1">
        <f>SUMIF(Tabelle1[Material],C22,Tabelle1[J/(kg*K)])</f>
        <v>4182</v>
      </c>
      <c r="D23" t="s">
        <v>30</v>
      </c>
    </row>
    <row r="24" spans="2:8" x14ac:dyDescent="0.25">
      <c r="B24" t="s">
        <v>47</v>
      </c>
      <c r="C24" s="1">
        <f>C4</f>
        <v>100</v>
      </c>
      <c r="D24" t="s">
        <v>48</v>
      </c>
    </row>
    <row r="26" spans="2:8" ht="18" thickBot="1" x14ac:dyDescent="0.35">
      <c r="B26" s="47" t="s">
        <v>65</v>
      </c>
      <c r="C26" s="47"/>
      <c r="D26" s="47"/>
    </row>
    <row r="27" spans="2:8" ht="15.75" thickTop="1" x14ac:dyDescent="0.25">
      <c r="B27" s="11" t="s">
        <v>57</v>
      </c>
      <c r="C27" s="1">
        <f>C23*C24*C20</f>
        <v>5544000</v>
      </c>
      <c r="D27" t="s">
        <v>49</v>
      </c>
    </row>
    <row r="28" spans="2:8" x14ac:dyDescent="0.25">
      <c r="B28" s="11" t="s">
        <v>50</v>
      </c>
      <c r="C28" s="1">
        <f>C27/(3.6*(10^6))</f>
        <v>1.54</v>
      </c>
      <c r="D28" t="s">
        <v>51</v>
      </c>
    </row>
    <row r="31" spans="2:8" ht="18" thickBot="1" x14ac:dyDescent="0.35">
      <c r="B31" s="48" t="s">
        <v>112</v>
      </c>
      <c r="C31" s="48"/>
      <c r="D31" s="48"/>
      <c r="E31" s="48"/>
      <c r="F31" s="48"/>
      <c r="G31" s="48"/>
      <c r="H31" s="48"/>
    </row>
    <row r="32" spans="2:8" ht="15.75" thickTop="1" x14ac:dyDescent="0.25">
      <c r="B32" t="s">
        <v>113</v>
      </c>
    </row>
    <row r="36" spans="2:12" x14ac:dyDescent="0.25">
      <c r="B36" t="s">
        <v>104</v>
      </c>
      <c r="C36" s="1">
        <v>20</v>
      </c>
    </row>
    <row r="37" spans="2:12" x14ac:dyDescent="0.25">
      <c r="B37" t="s">
        <v>108</v>
      </c>
      <c r="C37" s="1">
        <f>C19</f>
        <v>65</v>
      </c>
    </row>
    <row r="38" spans="2:12" x14ac:dyDescent="0.25">
      <c r="B38" t="s">
        <v>105</v>
      </c>
      <c r="C38" s="1">
        <f>24*60</f>
        <v>1440</v>
      </c>
    </row>
    <row r="39" spans="2:12" x14ac:dyDescent="0.25">
      <c r="B39" t="s">
        <v>106</v>
      </c>
      <c r="C39" s="16">
        <v>2.4235305737649001E-4</v>
      </c>
    </row>
    <row r="41" spans="2:12" ht="15.75" thickBot="1" x14ac:dyDescent="0.3">
      <c r="B41" t="s">
        <v>107</v>
      </c>
      <c r="C41" s="15">
        <f>C36+(C37-C36)*EXP(-C39*C38)</f>
        <v>51.743058996262683</v>
      </c>
    </row>
    <row r="42" spans="2:12" ht="15.75" thickTop="1" x14ac:dyDescent="0.25">
      <c r="L42" t="s">
        <v>101</v>
      </c>
    </row>
    <row r="44" spans="2:12" ht="18" thickBot="1" x14ac:dyDescent="0.35">
      <c r="B44" s="48" t="s">
        <v>114</v>
      </c>
      <c r="C44" s="48"/>
      <c r="D44" s="48"/>
      <c r="E44" s="48"/>
      <c r="F44" s="48"/>
      <c r="G44" s="48"/>
      <c r="H44" s="48"/>
    </row>
    <row r="45" spans="2:12" ht="15.75" thickTop="1" x14ac:dyDescent="0.25">
      <c r="B45" t="s">
        <v>113</v>
      </c>
    </row>
    <row r="49" spans="2:12" x14ac:dyDescent="0.25">
      <c r="B49" t="s">
        <v>104</v>
      </c>
      <c r="C49" s="1">
        <f>C36</f>
        <v>20</v>
      </c>
    </row>
    <row r="50" spans="2:12" x14ac:dyDescent="0.25">
      <c r="B50" t="s">
        <v>108</v>
      </c>
      <c r="C50" s="12">
        <v>80</v>
      </c>
    </row>
    <row r="51" spans="2:12" x14ac:dyDescent="0.25">
      <c r="B51" t="s">
        <v>105</v>
      </c>
      <c r="C51" s="1">
        <f>24*60</f>
        <v>1440</v>
      </c>
    </row>
    <row r="52" spans="2:12" x14ac:dyDescent="0.25">
      <c r="B52" t="s">
        <v>106</v>
      </c>
      <c r="C52" s="22">
        <f>C39</f>
        <v>2.4235305737649001E-4</v>
      </c>
    </row>
    <row r="54" spans="2:12" ht="15.75" thickBot="1" x14ac:dyDescent="0.3">
      <c r="B54" t="s">
        <v>107</v>
      </c>
      <c r="C54" s="15">
        <f>C49+(C50-C49)*EXP(-C52*C51)</f>
        <v>62.324078661683572</v>
      </c>
    </row>
    <row r="55" spans="2:12" ht="15.75" thickTop="1" x14ac:dyDescent="0.25"/>
    <row r="56" spans="2:12" ht="18" thickBot="1" x14ac:dyDescent="0.35">
      <c r="B56" s="48" t="s">
        <v>115</v>
      </c>
      <c r="C56" s="48"/>
      <c r="D56" s="48"/>
      <c r="E56" s="48"/>
      <c r="F56" s="48"/>
      <c r="G56" s="48"/>
      <c r="H56" s="48"/>
      <c r="L56" t="s">
        <v>102</v>
      </c>
    </row>
    <row r="57" spans="2:12" ht="15.75" thickTop="1" x14ac:dyDescent="0.25"/>
    <row r="58" spans="2:12" x14ac:dyDescent="0.25">
      <c r="B58" t="s">
        <v>97</v>
      </c>
      <c r="C58" s="1">
        <f>C54</f>
        <v>62.324078661683572</v>
      </c>
      <c r="D58" t="s">
        <v>46</v>
      </c>
    </row>
    <row r="59" spans="2:12" x14ac:dyDescent="0.25">
      <c r="B59" t="s">
        <v>43</v>
      </c>
      <c r="C59" s="1">
        <f>C50</f>
        <v>80</v>
      </c>
      <c r="D59" t="s">
        <v>99</v>
      </c>
    </row>
    <row r="60" spans="2:12" ht="15.75" thickBot="1" x14ac:dyDescent="0.3">
      <c r="B60" s="11" t="s">
        <v>45</v>
      </c>
      <c r="C60" s="15">
        <f>C59-C58</f>
        <v>17.675921338316428</v>
      </c>
      <c r="D60" t="s">
        <v>132</v>
      </c>
    </row>
    <row r="61" spans="2:12" ht="15.75" thickTop="1" x14ac:dyDescent="0.25"/>
    <row r="62" spans="2:12" x14ac:dyDescent="0.25">
      <c r="B62" t="s">
        <v>44</v>
      </c>
      <c r="C62" s="6" t="s">
        <v>10</v>
      </c>
    </row>
    <row r="63" spans="2:12" x14ac:dyDescent="0.25">
      <c r="B63" t="s">
        <v>9</v>
      </c>
      <c r="C63" s="1">
        <f>SUMIF(Tabelle1[Material],C62,Tabelle1[J/(kg*K)])</f>
        <v>4182</v>
      </c>
      <c r="D63" t="s">
        <v>30</v>
      </c>
    </row>
    <row r="64" spans="2:12" x14ac:dyDescent="0.25">
      <c r="B64" t="s">
        <v>47</v>
      </c>
      <c r="C64" s="1">
        <f>C4</f>
        <v>100</v>
      </c>
      <c r="D64" t="s">
        <v>48</v>
      </c>
    </row>
    <row r="66" spans="2:8" ht="18" thickBot="1" x14ac:dyDescent="0.35">
      <c r="B66" s="47" t="s">
        <v>65</v>
      </c>
      <c r="C66" s="47"/>
      <c r="D66" s="47"/>
    </row>
    <row r="67" spans="2:8" ht="15.75" thickTop="1" x14ac:dyDescent="0.25">
      <c r="B67" s="11" t="s">
        <v>57</v>
      </c>
      <c r="C67" s="1">
        <f>C63*C64*C60</f>
        <v>7392070.3036839301</v>
      </c>
      <c r="D67" t="s">
        <v>49</v>
      </c>
    </row>
    <row r="68" spans="2:8" x14ac:dyDescent="0.25">
      <c r="B68" s="11" t="s">
        <v>50</v>
      </c>
      <c r="C68" s="21">
        <f>C67/(3.6*(10^6))</f>
        <v>2.053352862134425</v>
      </c>
      <c r="D68" t="s">
        <v>51</v>
      </c>
    </row>
    <row r="71" spans="2:8" ht="18" thickBot="1" x14ac:dyDescent="0.35">
      <c r="B71" s="48" t="s">
        <v>116</v>
      </c>
      <c r="C71" s="48"/>
      <c r="D71" s="48"/>
      <c r="E71" s="48"/>
      <c r="F71" s="48"/>
      <c r="G71" s="48"/>
      <c r="H71" s="48"/>
    </row>
    <row r="72" spans="2:8" ht="15.75" thickTop="1" x14ac:dyDescent="0.25"/>
    <row r="73" spans="2:8" x14ac:dyDescent="0.25">
      <c r="B73" t="s">
        <v>88</v>
      </c>
    </row>
    <row r="74" spans="2:8" x14ac:dyDescent="0.25">
      <c r="B74" t="s">
        <v>89</v>
      </c>
      <c r="C74" s="1">
        <v>700</v>
      </c>
      <c r="D74" t="s">
        <v>92</v>
      </c>
      <c r="E74" s="1">
        <f>C74/1000</f>
        <v>0.7</v>
      </c>
      <c r="F74" t="s">
        <v>93</v>
      </c>
    </row>
    <row r="75" spans="2:8" x14ac:dyDescent="0.25">
      <c r="B75" t="s">
        <v>90</v>
      </c>
      <c r="C75" s="1">
        <v>1585</v>
      </c>
      <c r="D75" t="s">
        <v>92</v>
      </c>
      <c r="E75" s="1">
        <f>C75/1000</f>
        <v>1.585</v>
      </c>
      <c r="F75" t="s">
        <v>93</v>
      </c>
    </row>
    <row r="76" spans="2:8" x14ac:dyDescent="0.25">
      <c r="B76" t="s">
        <v>91</v>
      </c>
      <c r="C76" s="1">
        <v>815</v>
      </c>
      <c r="D76" t="s">
        <v>92</v>
      </c>
      <c r="E76" s="1">
        <f>C76/1000</f>
        <v>0.81499999999999995</v>
      </c>
      <c r="F76" t="s">
        <v>93</v>
      </c>
    </row>
    <row r="77" spans="2:8" x14ac:dyDescent="0.25">
      <c r="B77" t="s">
        <v>117</v>
      </c>
      <c r="C77" s="1">
        <f>2*C74*C75+2*C74*C76+2*C75*C76</f>
        <v>5943550</v>
      </c>
      <c r="D77" t="s">
        <v>94</v>
      </c>
      <c r="E77" s="1">
        <f>2*E74*E75+2*E74*E76+2*E75*E76</f>
        <v>5.9435499999999992</v>
      </c>
      <c r="F77" t="s">
        <v>95</v>
      </c>
    </row>
    <row r="79" spans="2:8" x14ac:dyDescent="0.25">
      <c r="B79" t="s">
        <v>118</v>
      </c>
      <c r="C79" s="1">
        <f>C4</f>
        <v>100</v>
      </c>
      <c r="D79" t="s">
        <v>48</v>
      </c>
    </row>
    <row r="80" spans="2:8" x14ac:dyDescent="0.25">
      <c r="B80" t="s">
        <v>119</v>
      </c>
      <c r="C80" s="1">
        <v>50</v>
      </c>
      <c r="D80" t="s">
        <v>48</v>
      </c>
    </row>
    <row r="81" spans="2:4" x14ac:dyDescent="0.25">
      <c r="B81" t="s">
        <v>120</v>
      </c>
      <c r="C81" s="1">
        <f>C80+C79</f>
        <v>150</v>
      </c>
    </row>
    <row r="83" spans="2:4" x14ac:dyDescent="0.25">
      <c r="B83" t="s">
        <v>121</v>
      </c>
      <c r="C83" s="2">
        <f>C63</f>
        <v>4182</v>
      </c>
      <c r="D83" t="s">
        <v>30</v>
      </c>
    </row>
    <row r="85" spans="2:4" x14ac:dyDescent="0.25">
      <c r="B85" t="s">
        <v>122</v>
      </c>
      <c r="C85">
        <v>2.5578664752885061E-2</v>
      </c>
    </row>
    <row r="87" spans="2:4" x14ac:dyDescent="0.25">
      <c r="B87" t="s">
        <v>106</v>
      </c>
      <c r="C87">
        <f>(C85*E77)/(C83/1000*C81)</f>
        <v>2.4235305737607199E-4</v>
      </c>
    </row>
  </sheetData>
  <mergeCells count="10">
    <mergeCell ref="B44:H44"/>
    <mergeCell ref="B56:H56"/>
    <mergeCell ref="B66:D66"/>
    <mergeCell ref="B71:H71"/>
    <mergeCell ref="B2:H2"/>
    <mergeCell ref="C10:D10"/>
    <mergeCell ref="F10:G10"/>
    <mergeCell ref="B26:D26"/>
    <mergeCell ref="B16:H16"/>
    <mergeCell ref="B31:H31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Button 8">
              <controlPr defaultSize="0" print="0" autoFill="0" autoPict="0" macro="[0]!Berechung_Proportionalitaetskonstante">
                <anchor moveWithCells="1">
                  <from>
                    <xdr:col>5</xdr:col>
                    <xdr:colOff>400050</xdr:colOff>
                    <xdr:row>35</xdr:row>
                    <xdr:rowOff>76200</xdr:rowOff>
                  </from>
                  <to>
                    <xdr:col>8</xdr:col>
                    <xdr:colOff>571500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Berechnung_Temperaturabnahme">
                <anchor moveWithCells="1">
                  <from>
                    <xdr:col>5</xdr:col>
                    <xdr:colOff>542925</xdr:colOff>
                    <xdr:row>22</xdr:row>
                    <xdr:rowOff>19050</xdr:rowOff>
                  </from>
                  <to>
                    <xdr:col>8</xdr:col>
                    <xdr:colOff>180975</xdr:colOff>
                    <xdr:row>23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Hilfsblatt!$B$3:$B$22</xm:f>
          </x14:formula1>
          <xm:sqref>C22 C62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B2:G36"/>
  <sheetViews>
    <sheetView showGridLines="0" workbookViewId="0">
      <selection activeCell="B22" sqref="B22:D22"/>
    </sheetView>
  </sheetViews>
  <sheetFormatPr baseColWidth="10" defaultRowHeight="15" x14ac:dyDescent="0.25"/>
  <cols>
    <col min="2" max="2" width="30.5703125" bestFit="1" customWidth="1"/>
    <col min="3" max="3" width="16.42578125" bestFit="1" customWidth="1"/>
  </cols>
  <sheetData>
    <row r="2" spans="2:7" ht="20.25" thickBot="1" x14ac:dyDescent="0.35">
      <c r="B2" s="41" t="s">
        <v>87</v>
      </c>
      <c r="C2" s="41"/>
      <c r="D2" s="41"/>
      <c r="E2" s="41"/>
      <c r="F2" s="41"/>
      <c r="G2" s="41"/>
    </row>
    <row r="3" spans="2:7" ht="15.75" thickTop="1" x14ac:dyDescent="0.25"/>
    <row r="4" spans="2:7" x14ac:dyDescent="0.25">
      <c r="B4" t="s">
        <v>79</v>
      </c>
      <c r="C4" s="12">
        <v>10</v>
      </c>
      <c r="D4" t="s">
        <v>82</v>
      </c>
    </row>
    <row r="5" spans="2:7" x14ac:dyDescent="0.25">
      <c r="C5" s="1">
        <f>C4/60</f>
        <v>0.16666666666666666</v>
      </c>
      <c r="D5" t="s">
        <v>83</v>
      </c>
    </row>
    <row r="7" spans="2:7" x14ac:dyDescent="0.25">
      <c r="B7" t="s">
        <v>85</v>
      </c>
      <c r="C7" s="12">
        <v>100</v>
      </c>
      <c r="D7" t="s">
        <v>80</v>
      </c>
    </row>
    <row r="9" spans="2:7" x14ac:dyDescent="0.25">
      <c r="B9" t="s">
        <v>81</v>
      </c>
      <c r="C9" s="2">
        <f>C7/C4</f>
        <v>10</v>
      </c>
      <c r="D9" t="s">
        <v>58</v>
      </c>
    </row>
    <row r="12" spans="2:7" ht="20.25" thickBot="1" x14ac:dyDescent="0.35">
      <c r="B12" s="41" t="s">
        <v>86</v>
      </c>
      <c r="C12" s="41"/>
      <c r="D12" s="41"/>
      <c r="E12" s="41"/>
      <c r="F12" s="41"/>
      <c r="G12" s="41"/>
    </row>
    <row r="13" spans="2:7" ht="15.75" thickTop="1" x14ac:dyDescent="0.25"/>
    <row r="14" spans="2:7" x14ac:dyDescent="0.25">
      <c r="B14" t="s">
        <v>39</v>
      </c>
      <c r="C14" s="12">
        <v>12</v>
      </c>
      <c r="D14" t="s">
        <v>46</v>
      </c>
    </row>
    <row r="15" spans="2:7" x14ac:dyDescent="0.25">
      <c r="B15" t="s">
        <v>43</v>
      </c>
      <c r="C15" s="12">
        <v>40</v>
      </c>
      <c r="D15" t="s">
        <v>46</v>
      </c>
    </row>
    <row r="16" spans="2:7" x14ac:dyDescent="0.25">
      <c r="B16" s="11" t="s">
        <v>45</v>
      </c>
      <c r="C16" s="1">
        <f>C15-C14</f>
        <v>28</v>
      </c>
      <c r="D16" t="s">
        <v>46</v>
      </c>
    </row>
    <row r="18" spans="2:4" x14ac:dyDescent="0.25">
      <c r="B18" t="s">
        <v>44</v>
      </c>
      <c r="C18" s="6" t="s">
        <v>10</v>
      </c>
    </row>
    <row r="19" spans="2:4" x14ac:dyDescent="0.25">
      <c r="B19" t="s">
        <v>9</v>
      </c>
      <c r="C19" s="1">
        <f>SUMIF(Tabelle1[Material],C18,Tabelle1[J/(kg*K)])</f>
        <v>4182</v>
      </c>
      <c r="D19" t="s">
        <v>30</v>
      </c>
    </row>
    <row r="20" spans="2:4" x14ac:dyDescent="0.25">
      <c r="B20" t="s">
        <v>47</v>
      </c>
      <c r="C20" s="1">
        <f>C7</f>
        <v>100</v>
      </c>
      <c r="D20" t="s">
        <v>48</v>
      </c>
    </row>
    <row r="22" spans="2:4" ht="18" thickBot="1" x14ac:dyDescent="0.35">
      <c r="B22" s="47" t="s">
        <v>65</v>
      </c>
      <c r="C22" s="47"/>
      <c r="D22" s="47"/>
    </row>
    <row r="23" spans="2:4" ht="15.75" thickTop="1" x14ac:dyDescent="0.25">
      <c r="B23" s="11" t="s">
        <v>57</v>
      </c>
      <c r="C23" s="1">
        <f>C19*C20*C16</f>
        <v>11709600</v>
      </c>
      <c r="D23" t="s">
        <v>49</v>
      </c>
    </row>
    <row r="24" spans="2:4" x14ac:dyDescent="0.25">
      <c r="B24" s="11" t="s">
        <v>50</v>
      </c>
      <c r="C24" s="1">
        <f>C23/(3.6*(10^6))</f>
        <v>3.2526666666666668</v>
      </c>
      <c r="D24" t="s">
        <v>51</v>
      </c>
    </row>
    <row r="25" spans="2:4" x14ac:dyDescent="0.25">
      <c r="B25" s="11"/>
      <c r="C25" s="1"/>
    </row>
    <row r="26" spans="2:4" x14ac:dyDescent="0.25">
      <c r="B26" s="11" t="s">
        <v>84</v>
      </c>
      <c r="C26" s="1"/>
    </row>
    <row r="27" spans="2:4" x14ac:dyDescent="0.25">
      <c r="B27" s="11" t="s">
        <v>52</v>
      </c>
      <c r="C27" s="1">
        <f>C9</f>
        <v>10</v>
      </c>
      <c r="D27" t="s">
        <v>58</v>
      </c>
    </row>
    <row r="28" spans="2:4" x14ac:dyDescent="0.25">
      <c r="B28" s="11"/>
      <c r="C28" s="1">
        <f>C27/60</f>
        <v>0.16666666666666666</v>
      </c>
      <c r="D28" t="s">
        <v>53</v>
      </c>
    </row>
    <row r="29" spans="2:4" x14ac:dyDescent="0.25">
      <c r="B29" s="11" t="s">
        <v>55</v>
      </c>
      <c r="C29" s="1">
        <f>C24/C28</f>
        <v>19.516000000000002</v>
      </c>
      <c r="D29" t="s">
        <v>56</v>
      </c>
    </row>
    <row r="30" spans="2:4" x14ac:dyDescent="0.25">
      <c r="B30" s="11"/>
      <c r="C30" s="1"/>
    </row>
    <row r="34" spans="2:4" ht="18" thickBot="1" x14ac:dyDescent="0.35">
      <c r="B34" s="13" t="s">
        <v>59</v>
      </c>
    </row>
    <row r="35" spans="2:4" ht="15.75" thickTop="1" x14ac:dyDescent="0.25">
      <c r="B35" t="s">
        <v>61</v>
      </c>
      <c r="C35" s="1">
        <v>20</v>
      </c>
      <c r="D35" t="s">
        <v>60</v>
      </c>
    </row>
    <row r="36" spans="2:4" x14ac:dyDescent="0.25">
      <c r="B36" t="s">
        <v>62</v>
      </c>
      <c r="C36" s="2">
        <f>C29*C28*C35</f>
        <v>65.053333333333342</v>
      </c>
      <c r="D36" t="s">
        <v>63</v>
      </c>
    </row>
  </sheetData>
  <mergeCells count="3">
    <mergeCell ref="B12:G12"/>
    <mergeCell ref="B22:D22"/>
    <mergeCell ref="B2:G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Berechnung_Durchflussmenge">
                <anchor moveWithCells="1">
                  <from>
                    <xdr:col>4</xdr:col>
                    <xdr:colOff>200025</xdr:colOff>
                    <xdr:row>7</xdr:row>
                    <xdr:rowOff>95250</xdr:rowOff>
                  </from>
                  <to>
                    <xdr:col>7</xdr:col>
                    <xdr:colOff>390525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Button 4">
              <controlPr defaultSize="0" print="0" autoFill="0" autoPict="0" macro="[0]!Berechnung_Durchflussmenge_gegebeneLeistungsaufnahme">
                <anchor moveWithCells="1" sizeWithCells="1">
                  <from>
                    <xdr:col>0</xdr:col>
                    <xdr:colOff>752475</xdr:colOff>
                    <xdr:row>29</xdr:row>
                    <xdr:rowOff>114300</xdr:rowOff>
                  </from>
                  <to>
                    <xdr:col>2</xdr:col>
                    <xdr:colOff>533400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Button 5">
              <controlPr defaultSize="0" print="0" autoFill="0" autoPict="0" macro="[0]!Berechung_Ausgangstemperatur">
                <anchor moveWithCells="1" sizeWithCells="1">
                  <from>
                    <xdr:col>2</xdr:col>
                    <xdr:colOff>895350</xdr:colOff>
                    <xdr:row>29</xdr:row>
                    <xdr:rowOff>114300</xdr:rowOff>
                  </from>
                  <to>
                    <xdr:col>6</xdr:col>
                    <xdr:colOff>95250</xdr:colOff>
                    <xdr:row>32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Hilfsblatt!$B$3:$B$22</xm:f>
          </x14:formula1>
          <xm:sqref>C18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B2:G19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4.7109375" customWidth="1"/>
    <col min="3" max="3" width="16.7109375" customWidth="1"/>
    <col min="4" max="4" width="20.5703125" bestFit="1" customWidth="1"/>
  </cols>
  <sheetData>
    <row r="2" spans="2:7" ht="23.25" x14ac:dyDescent="0.35">
      <c r="B2" s="46" t="s">
        <v>103</v>
      </c>
      <c r="C2" s="46"/>
      <c r="D2" s="46"/>
      <c r="E2" s="46"/>
      <c r="F2" s="46"/>
      <c r="G2" s="46"/>
    </row>
    <row r="7" spans="2:7" x14ac:dyDescent="0.25">
      <c r="B7" t="s">
        <v>104</v>
      </c>
      <c r="D7" s="8">
        <v>20</v>
      </c>
    </row>
    <row r="8" spans="2:7" x14ac:dyDescent="0.25">
      <c r="B8" t="s">
        <v>108</v>
      </c>
      <c r="D8" s="8">
        <v>60</v>
      </c>
    </row>
    <row r="9" spans="2:7" x14ac:dyDescent="0.25">
      <c r="B9" t="s">
        <v>105</v>
      </c>
      <c r="D9" s="8">
        <v>120</v>
      </c>
    </row>
    <row r="10" spans="2:7" x14ac:dyDescent="0.25">
      <c r="B10" t="s">
        <v>106</v>
      </c>
      <c r="D10" s="16">
        <f>-LN(1/3)/90</f>
        <v>1.2206803207423442E-2</v>
      </c>
    </row>
    <row r="12" spans="2:7" ht="15.75" thickBot="1" x14ac:dyDescent="0.3">
      <c r="B12" t="s">
        <v>107</v>
      </c>
      <c r="D12" s="15">
        <f>D7+(D8-D7)*EXP(-D10*D9)</f>
        <v>29.244816991341796</v>
      </c>
    </row>
    <row r="13" spans="2:7" ht="15.75" thickTop="1" x14ac:dyDescent="0.25">
      <c r="B13" t="s">
        <v>109</v>
      </c>
      <c r="D13" s="2">
        <f>D8-D12</f>
        <v>30.755183008658204</v>
      </c>
    </row>
    <row r="15" spans="2:7" x14ac:dyDescent="0.25">
      <c r="D15" s="17"/>
    </row>
    <row r="16" spans="2:7" x14ac:dyDescent="0.25">
      <c r="D16" s="17"/>
    </row>
    <row r="19" spans="4:4" x14ac:dyDescent="0.25">
      <c r="D19" s="2"/>
    </row>
  </sheetData>
  <mergeCells count="1">
    <mergeCell ref="B2:G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Ermitteln_der_Proportionalitaetskonstanten">
                <anchor moveWithCells="1">
                  <from>
                    <xdr:col>4</xdr:col>
                    <xdr:colOff>57150</xdr:colOff>
                    <xdr:row>9</xdr:row>
                    <xdr:rowOff>0</xdr:rowOff>
                  </from>
                  <to>
                    <xdr:col>6</xdr:col>
                    <xdr:colOff>247650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Ermitteln_der_Dauer_in_Minuten">
                <anchor moveWithCells="1">
                  <from>
                    <xdr:col>4</xdr:col>
                    <xdr:colOff>57150</xdr:colOff>
                    <xdr:row>8</xdr:row>
                    <xdr:rowOff>0</xdr:rowOff>
                  </from>
                  <to>
                    <xdr:col>6</xdr:col>
                    <xdr:colOff>247650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0]!Ermitteln_von_T0">
                <anchor moveWithCells="1">
                  <from>
                    <xdr:col>4</xdr:col>
                    <xdr:colOff>57150</xdr:colOff>
                    <xdr:row>7</xdr:row>
                    <xdr:rowOff>0</xdr:rowOff>
                  </from>
                  <to>
                    <xdr:col>6</xdr:col>
                    <xdr:colOff>247650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Ermitteln_der_Umgebungstemperatur">
                <anchor moveWithCells="1">
                  <from>
                    <xdr:col>4</xdr:col>
                    <xdr:colOff>57150</xdr:colOff>
                    <xdr:row>6</xdr:row>
                    <xdr:rowOff>0</xdr:rowOff>
                  </from>
                  <to>
                    <xdr:col>6</xdr:col>
                    <xdr:colOff>247650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2:G112"/>
  <sheetViews>
    <sheetView showGridLines="0" zoomScaleNormal="100" workbookViewId="0">
      <selection activeCell="D9" sqref="D9"/>
    </sheetView>
  </sheetViews>
  <sheetFormatPr baseColWidth="10" defaultRowHeight="15" x14ac:dyDescent="0.25"/>
  <cols>
    <col min="1" max="1" width="4.7109375" customWidth="1"/>
    <col min="2" max="2" width="18.28515625" customWidth="1"/>
    <col min="3" max="3" width="21.7109375" bestFit="1" customWidth="1"/>
    <col min="4" max="4" width="20.5703125" bestFit="1" customWidth="1"/>
  </cols>
  <sheetData>
    <row r="2" spans="2:7" ht="23.25" x14ac:dyDescent="0.35">
      <c r="B2" s="46" t="s">
        <v>103</v>
      </c>
      <c r="C2" s="46"/>
      <c r="D2" s="46"/>
      <c r="E2" s="46"/>
      <c r="F2" s="46"/>
      <c r="G2" s="46"/>
    </row>
    <row r="7" spans="2:7" x14ac:dyDescent="0.25">
      <c r="B7" t="s">
        <v>104</v>
      </c>
      <c r="D7" s="8">
        <v>15</v>
      </c>
    </row>
    <row r="8" spans="2:7" x14ac:dyDescent="0.25">
      <c r="B8" t="s">
        <v>108</v>
      </c>
      <c r="D8" s="8">
        <v>40</v>
      </c>
    </row>
    <row r="9" spans="2:7" x14ac:dyDescent="0.25">
      <c r="B9" t="s">
        <v>106</v>
      </c>
      <c r="D9" s="16">
        <v>7.6356896321537861E-3</v>
      </c>
    </row>
    <row r="11" spans="2:7" ht="20.25" thickBot="1" x14ac:dyDescent="0.35">
      <c r="B11" s="41" t="s">
        <v>110</v>
      </c>
      <c r="C11" s="41"/>
      <c r="D11" s="17"/>
    </row>
    <row r="12" spans="2:7" ht="15.75" thickTop="1" x14ac:dyDescent="0.25">
      <c r="B12" t="s">
        <v>111</v>
      </c>
      <c r="C12" t="s">
        <v>33</v>
      </c>
      <c r="D12" s="17"/>
    </row>
    <row r="13" spans="2:7" x14ac:dyDescent="0.25">
      <c r="B13">
        <v>1</v>
      </c>
      <c r="C13" s="18">
        <f>$D$7+($D$8-$D$7)*EXP(-$D$9*B13)</f>
        <v>39.809834704727926</v>
      </c>
    </row>
    <row r="14" spans="2:7" x14ac:dyDescent="0.25">
      <c r="B14">
        <f>B13+1</f>
        <v>2</v>
      </c>
      <c r="C14" s="18">
        <f>$D$7+($D$8-$D$7)*EXP(-$D$9*B14)</f>
        <v>39.621115923036889</v>
      </c>
      <c r="D14" s="18">
        <f>C13-C14</f>
        <v>0.18871878169103695</v>
      </c>
    </row>
    <row r="15" spans="2:7" x14ac:dyDescent="0.25">
      <c r="B15">
        <f t="shared" ref="B15:B33" si="0">B14+1</f>
        <v>3</v>
      </c>
      <c r="C15" s="18">
        <f t="shared" ref="C15:C78" si="1">$D$7+($D$8-$D$7)*EXP(-$D$9*B15)</f>
        <v>39.433832651859603</v>
      </c>
      <c r="D15" s="18">
        <f t="shared" ref="D15:D78" si="2">C14-C15</f>
        <v>0.18728327117728583</v>
      </c>
    </row>
    <row r="16" spans="2:7" x14ac:dyDescent="0.25">
      <c r="B16">
        <f t="shared" si="0"/>
        <v>4</v>
      </c>
      <c r="C16" s="18">
        <f t="shared" si="1"/>
        <v>39.247973971824834</v>
      </c>
      <c r="D16" s="18">
        <f t="shared" si="2"/>
        <v>0.18585868003476946</v>
      </c>
    </row>
    <row r="17" spans="2:4" x14ac:dyDescent="0.25">
      <c r="B17">
        <f t="shared" si="0"/>
        <v>5</v>
      </c>
      <c r="C17" s="18">
        <f t="shared" si="1"/>
        <v>39.063529046620758</v>
      </c>
      <c r="D17" s="18">
        <f t="shared" si="2"/>
        <v>0.18444492520407607</v>
      </c>
    </row>
    <row r="18" spans="2:4" x14ac:dyDescent="0.25">
      <c r="B18">
        <f t="shared" si="0"/>
        <v>6</v>
      </c>
      <c r="C18" s="18">
        <f t="shared" si="1"/>
        <v>38.880487122363213</v>
      </c>
      <c r="D18" s="18">
        <f t="shared" si="2"/>
        <v>0.18304192425754451</v>
      </c>
    </row>
    <row r="19" spans="2:4" x14ac:dyDescent="0.25">
      <c r="B19">
        <f t="shared" si="0"/>
        <v>7</v>
      </c>
      <c r="C19" s="18">
        <f t="shared" si="1"/>
        <v>38.698837526968603</v>
      </c>
      <c r="D19" s="18">
        <f t="shared" si="2"/>
        <v>0.18164959539461023</v>
      </c>
    </row>
    <row r="20" spans="2:4" x14ac:dyDescent="0.25">
      <c r="B20">
        <f t="shared" si="0"/>
        <v>8</v>
      </c>
      <c r="C20" s="18">
        <f t="shared" si="1"/>
        <v>38.518569669531772</v>
      </c>
      <c r="D20" s="18">
        <f t="shared" si="2"/>
        <v>0.18026785743683149</v>
      </c>
    </row>
    <row r="21" spans="2:4" x14ac:dyDescent="0.25">
      <c r="B21">
        <f t="shared" si="0"/>
        <v>9</v>
      </c>
      <c r="C21" s="18">
        <f t="shared" si="1"/>
        <v>38.339673039708444</v>
      </c>
      <c r="D21" s="18">
        <f t="shared" si="2"/>
        <v>0.17889662982332766</v>
      </c>
    </row>
    <row r="22" spans="2:4" x14ac:dyDescent="0.25">
      <c r="B22">
        <f t="shared" si="0"/>
        <v>10</v>
      </c>
      <c r="C22" s="18">
        <f t="shared" si="1"/>
        <v>38.162137207102447</v>
      </c>
      <c r="D22" s="18">
        <f t="shared" si="2"/>
        <v>0.17753583260599726</v>
      </c>
    </row>
    <row r="23" spans="2:4" x14ac:dyDescent="0.25">
      <c r="B23">
        <f t="shared" si="0"/>
        <v>11</v>
      </c>
      <c r="C23" s="18">
        <f t="shared" si="1"/>
        <v>37.985951820657611</v>
      </c>
      <c r="D23" s="18">
        <f t="shared" si="2"/>
        <v>0.1761853864448355</v>
      </c>
    </row>
    <row r="24" spans="2:4" x14ac:dyDescent="0.25">
      <c r="B24">
        <f t="shared" si="0"/>
        <v>12</v>
      </c>
      <c r="C24" s="18">
        <f t="shared" si="1"/>
        <v>37.81110660805421</v>
      </c>
      <c r="D24" s="18">
        <f t="shared" si="2"/>
        <v>0.17484521260340102</v>
      </c>
    </row>
    <row r="25" spans="2:4" x14ac:dyDescent="0.25">
      <c r="B25">
        <f t="shared" si="0"/>
        <v>13</v>
      </c>
      <c r="C25" s="18">
        <f t="shared" si="1"/>
        <v>37.637591375110077</v>
      </c>
      <c r="D25" s="18">
        <f t="shared" si="2"/>
        <v>0.1735152329441334</v>
      </c>
    </row>
    <row r="26" spans="2:4" x14ac:dyDescent="0.25">
      <c r="B26">
        <f t="shared" si="0"/>
        <v>14</v>
      </c>
      <c r="C26" s="18">
        <f t="shared" si="1"/>
        <v>37.465396005186221</v>
      </c>
      <c r="D26" s="18">
        <f t="shared" si="2"/>
        <v>0.17219536992385542</v>
      </c>
    </row>
    <row r="27" spans="2:4" x14ac:dyDescent="0.25">
      <c r="B27">
        <f t="shared" si="0"/>
        <v>15</v>
      </c>
      <c r="C27" s="18">
        <f t="shared" si="1"/>
        <v>37.29451045859701</v>
      </c>
      <c r="D27" s="18">
        <f t="shared" si="2"/>
        <v>0.1708855465892114</v>
      </c>
    </row>
    <row r="28" spans="2:4" x14ac:dyDescent="0.25">
      <c r="B28">
        <f t="shared" si="0"/>
        <v>16</v>
      </c>
      <c r="C28" s="18">
        <f t="shared" si="1"/>
        <v>37.124924772024798</v>
      </c>
      <c r="D28" s="18">
        <f t="shared" si="2"/>
        <v>0.16958568657221207</v>
      </c>
    </row>
    <row r="29" spans="2:4" x14ac:dyDescent="0.25">
      <c r="B29">
        <f t="shared" si="0"/>
        <v>17</v>
      </c>
      <c r="C29" s="18">
        <f t="shared" si="1"/>
        <v>36.956629057939011</v>
      </c>
      <c r="D29" s="18">
        <f t="shared" si="2"/>
        <v>0.16829571408578659</v>
      </c>
    </row>
    <row r="30" spans="2:4" x14ac:dyDescent="0.25">
      <c r="B30">
        <f t="shared" si="0"/>
        <v>18</v>
      </c>
      <c r="C30" s="18">
        <f t="shared" si="1"/>
        <v>36.789613504019719</v>
      </c>
      <c r="D30" s="18">
        <f t="shared" si="2"/>
        <v>0.1670155539192919</v>
      </c>
    </row>
    <row r="31" spans="2:4" x14ac:dyDescent="0.25">
      <c r="B31">
        <f t="shared" si="0"/>
        <v>19</v>
      </c>
      <c r="C31" s="18">
        <f t="shared" si="1"/>
        <v>36.62386837258547</v>
      </c>
      <c r="D31" s="18">
        <f t="shared" si="2"/>
        <v>0.16574513143424952</v>
      </c>
    </row>
    <row r="32" spans="2:4" x14ac:dyDescent="0.25">
      <c r="B32">
        <f t="shared" si="0"/>
        <v>20</v>
      </c>
      <c r="C32" s="18">
        <f t="shared" si="1"/>
        <v>36.45938400002558</v>
      </c>
      <c r="D32" s="18">
        <f t="shared" si="2"/>
        <v>0.16448437255989035</v>
      </c>
    </row>
    <row r="33" spans="2:4" x14ac:dyDescent="0.25">
      <c r="B33">
        <f t="shared" si="0"/>
        <v>21</v>
      </c>
      <c r="C33" s="18">
        <f t="shared" si="1"/>
        <v>36.296150796236716</v>
      </c>
      <c r="D33" s="18">
        <f t="shared" si="2"/>
        <v>0.16323320378886308</v>
      </c>
    </row>
    <row r="34" spans="2:4" x14ac:dyDescent="0.25">
      <c r="B34">
        <f t="shared" ref="B34:B67" si="3">B33+1</f>
        <v>22</v>
      </c>
      <c r="C34" s="18">
        <f t="shared" si="1"/>
        <v>36.134159244063717</v>
      </c>
      <c r="D34" s="18">
        <f t="shared" si="2"/>
        <v>0.16199155217299932</v>
      </c>
    </row>
    <row r="35" spans="2:4" x14ac:dyDescent="0.25">
      <c r="B35">
        <f t="shared" si="3"/>
        <v>23</v>
      </c>
      <c r="C35" s="18">
        <f t="shared" si="1"/>
        <v>35.973399898744745</v>
      </c>
      <c r="D35" s="18">
        <f t="shared" si="2"/>
        <v>0.16075934531897218</v>
      </c>
    </row>
    <row r="36" spans="2:4" x14ac:dyDescent="0.25">
      <c r="B36">
        <f t="shared" si="3"/>
        <v>24</v>
      </c>
      <c r="C36" s="18">
        <f t="shared" si="1"/>
        <v>35.813863387360584</v>
      </c>
      <c r="D36" s="18">
        <f t="shared" si="2"/>
        <v>0.15953651138416092</v>
      </c>
    </row>
    <row r="37" spans="2:4" x14ac:dyDescent="0.25">
      <c r="B37">
        <f t="shared" si="3"/>
        <v>25</v>
      </c>
      <c r="C37" s="18">
        <f t="shared" si="1"/>
        <v>35.655540408288182</v>
      </c>
      <c r="D37" s="18">
        <f t="shared" si="2"/>
        <v>0.15832297907240189</v>
      </c>
    </row>
    <row r="38" spans="2:4" x14ac:dyDescent="0.25">
      <c r="B38">
        <f t="shared" si="3"/>
        <v>26</v>
      </c>
      <c r="C38" s="18">
        <f t="shared" si="1"/>
        <v>35.498421730658322</v>
      </c>
      <c r="D38" s="18">
        <f t="shared" si="2"/>
        <v>0.15711867762986031</v>
      </c>
    </row>
    <row r="39" spans="2:4" x14ac:dyDescent="0.25">
      <c r="B39">
        <f t="shared" si="3"/>
        <v>27</v>
      </c>
      <c r="C39" s="18">
        <f t="shared" si="1"/>
        <v>35.342498193817441</v>
      </c>
      <c r="D39" s="18">
        <f t="shared" si="2"/>
        <v>0.15592353684088067</v>
      </c>
    </row>
    <row r="40" spans="2:4" x14ac:dyDescent="0.25">
      <c r="B40">
        <f t="shared" si="3"/>
        <v>28</v>
      </c>
      <c r="C40" s="18">
        <f t="shared" si="1"/>
        <v>35.187760706793483</v>
      </c>
      <c r="D40" s="18">
        <f t="shared" si="2"/>
        <v>0.15473748702395795</v>
      </c>
    </row>
    <row r="41" spans="2:4" x14ac:dyDescent="0.25">
      <c r="B41">
        <f t="shared" si="3"/>
        <v>29</v>
      </c>
      <c r="C41" s="18">
        <f t="shared" si="1"/>
        <v>35.034200247765909</v>
      </c>
      <c r="D41" s="18">
        <f t="shared" si="2"/>
        <v>0.15356045902757387</v>
      </c>
    </row>
    <row r="42" spans="2:4" x14ac:dyDescent="0.25">
      <c r="B42">
        <f t="shared" si="3"/>
        <v>30</v>
      </c>
      <c r="C42" s="18">
        <f t="shared" si="1"/>
        <v>34.881807863539663</v>
      </c>
      <c r="D42" s="18">
        <f t="shared" si="2"/>
        <v>0.15239238422624624</v>
      </c>
    </row>
    <row r="43" spans="2:4" x14ac:dyDescent="0.25">
      <c r="B43">
        <f t="shared" si="3"/>
        <v>31</v>
      </c>
      <c r="C43" s="18">
        <f t="shared" si="1"/>
        <v>34.730574669023156</v>
      </c>
      <c r="D43" s="18">
        <f t="shared" si="2"/>
        <v>0.1512331945165073</v>
      </c>
    </row>
    <row r="44" spans="2:4" x14ac:dyDescent="0.25">
      <c r="B44">
        <f t="shared" si="3"/>
        <v>32</v>
      </c>
      <c r="C44" s="18">
        <f t="shared" si="1"/>
        <v>34.58049184671026</v>
      </c>
      <c r="D44" s="18">
        <f t="shared" si="2"/>
        <v>0.15008282231289627</v>
      </c>
    </row>
    <row r="45" spans="2:4" x14ac:dyDescent="0.25">
      <c r="B45">
        <f t="shared" si="3"/>
        <v>33</v>
      </c>
      <c r="C45" s="18">
        <f t="shared" si="1"/>
        <v>34.431550646166173</v>
      </c>
      <c r="D45" s="18">
        <f t="shared" si="2"/>
        <v>0.14894120054408688</v>
      </c>
    </row>
    <row r="46" spans="2:4" x14ac:dyDescent="0.25">
      <c r="B46">
        <f t="shared" si="3"/>
        <v>34</v>
      </c>
      <c r="C46" s="18">
        <f t="shared" si="1"/>
        <v>34.283742383517279</v>
      </c>
      <c r="D46" s="18">
        <f t="shared" si="2"/>
        <v>0.14780826264889413</v>
      </c>
    </row>
    <row r="47" spans="2:4" x14ac:dyDescent="0.25">
      <c r="B47">
        <f t="shared" si="3"/>
        <v>35</v>
      </c>
      <c r="C47" s="18">
        <f t="shared" si="1"/>
        <v>34.137058440944791</v>
      </c>
      <c r="D47" s="18">
        <f t="shared" si="2"/>
        <v>0.14668394257248707</v>
      </c>
    </row>
    <row r="48" spans="2:4" x14ac:dyDescent="0.25">
      <c r="B48">
        <f t="shared" si="3"/>
        <v>36</v>
      </c>
      <c r="C48" s="18">
        <f t="shared" si="1"/>
        <v>33.991490266182339</v>
      </c>
      <c r="D48" s="18">
        <f t="shared" si="2"/>
        <v>0.14556817476245243</v>
      </c>
    </row>
    <row r="49" spans="2:4" x14ac:dyDescent="0.25">
      <c r="B49">
        <f t="shared" si="3"/>
        <v>37</v>
      </c>
      <c r="C49" s="18">
        <f t="shared" si="1"/>
        <v>33.847029372017332</v>
      </c>
      <c r="D49" s="18">
        <f t="shared" si="2"/>
        <v>0.1444608941650074</v>
      </c>
    </row>
    <row r="50" spans="2:4" x14ac:dyDescent="0.25">
      <c r="B50">
        <f t="shared" si="3"/>
        <v>38</v>
      </c>
      <c r="C50" s="18">
        <f t="shared" si="1"/>
        <v>33.703667335796084</v>
      </c>
      <c r="D50" s="18">
        <f t="shared" si="2"/>
        <v>0.14336203622124799</v>
      </c>
    </row>
    <row r="51" spans="2:4" x14ac:dyDescent="0.25">
      <c r="B51">
        <f t="shared" si="3"/>
        <v>39</v>
      </c>
      <c r="C51" s="18">
        <f t="shared" si="1"/>
        <v>33.561395798932793</v>
      </c>
      <c r="D51" s="18">
        <f t="shared" si="2"/>
        <v>0.14227153686329075</v>
      </c>
    </row>
    <row r="52" spans="2:4" x14ac:dyDescent="0.25">
      <c r="B52">
        <f t="shared" si="3"/>
        <v>40</v>
      </c>
      <c r="C52" s="18">
        <f t="shared" si="1"/>
        <v>33.420206466422158</v>
      </c>
      <c r="D52" s="18">
        <f t="shared" si="2"/>
        <v>0.14118933251063481</v>
      </c>
    </row>
    <row r="53" spans="2:4" x14ac:dyDescent="0.25">
      <c r="B53">
        <f t="shared" si="3"/>
        <v>41</v>
      </c>
      <c r="C53" s="18">
        <f t="shared" si="1"/>
        <v>33.280091106355769</v>
      </c>
      <c r="D53" s="18">
        <f t="shared" si="2"/>
        <v>0.14011536006638892</v>
      </c>
    </row>
    <row r="54" spans="2:4" x14ac:dyDescent="0.25">
      <c r="B54">
        <f t="shared" si="3"/>
        <v>42</v>
      </c>
      <c r="C54" s="18">
        <f t="shared" si="1"/>
        <v>33.14104154944215</v>
      </c>
      <c r="D54" s="18">
        <f t="shared" si="2"/>
        <v>0.1390495569136192</v>
      </c>
    </row>
    <row r="55" spans="2:4" x14ac:dyDescent="0.25">
      <c r="B55">
        <f t="shared" si="3"/>
        <v>43</v>
      </c>
      <c r="C55" s="18">
        <f t="shared" si="1"/>
        <v>33.003049688530446</v>
      </c>
      <c r="D55" s="18">
        <f t="shared" si="2"/>
        <v>0.13799186091170412</v>
      </c>
    </row>
    <row r="56" spans="2:4" x14ac:dyDescent="0.25">
      <c r="B56">
        <f t="shared" si="3"/>
        <v>44</v>
      </c>
      <c r="C56" s="18">
        <f t="shared" si="1"/>
        <v>32.866107478137756</v>
      </c>
      <c r="D56" s="18">
        <f t="shared" si="2"/>
        <v>0.13694221039268939</v>
      </c>
    </row>
    <row r="57" spans="2:4" x14ac:dyDescent="0.25">
      <c r="B57">
        <f t="shared" si="3"/>
        <v>45</v>
      </c>
      <c r="C57" s="18">
        <f t="shared" si="1"/>
        <v>32.73020693398005</v>
      </c>
      <c r="D57" s="18">
        <f t="shared" si="2"/>
        <v>0.1359005441577068</v>
      </c>
    </row>
    <row r="58" spans="2:4" x14ac:dyDescent="0.25">
      <c r="B58">
        <f t="shared" si="3"/>
        <v>46</v>
      </c>
      <c r="C58" s="18">
        <f t="shared" si="1"/>
        <v>32.595340132506635</v>
      </c>
      <c r="D58" s="18">
        <f t="shared" si="2"/>
        <v>0.13486680147341445</v>
      </c>
    </row>
    <row r="59" spans="2:4" x14ac:dyDescent="0.25">
      <c r="B59">
        <f t="shared" si="3"/>
        <v>47</v>
      </c>
      <c r="C59" s="18">
        <f t="shared" si="1"/>
        <v>32.461499210438213</v>
      </c>
      <c r="D59" s="18">
        <f t="shared" si="2"/>
        <v>0.13384092206842269</v>
      </c>
    </row>
    <row r="60" spans="2:4" x14ac:dyDescent="0.25">
      <c r="B60">
        <f t="shared" si="3"/>
        <v>48</v>
      </c>
      <c r="C60" s="18">
        <f t="shared" si="1"/>
        <v>32.328676364308372</v>
      </c>
      <c r="D60" s="18">
        <f t="shared" si="2"/>
        <v>0.13282284612984085</v>
      </c>
    </row>
    <row r="61" spans="2:4" x14ac:dyDescent="0.25">
      <c r="B61">
        <f t="shared" si="3"/>
        <v>49</v>
      </c>
      <c r="C61" s="18">
        <f t="shared" si="1"/>
        <v>32.196863850008654</v>
      </c>
      <c r="D61" s="18">
        <f t="shared" si="2"/>
        <v>0.13181251429971752</v>
      </c>
    </row>
    <row r="62" spans="2:4" x14ac:dyDescent="0.25">
      <c r="B62">
        <f t="shared" si="3"/>
        <v>50</v>
      </c>
      <c r="C62" s="18">
        <f t="shared" si="1"/>
        <v>32.066053982337031</v>
      </c>
      <c r="D62" s="18">
        <f t="shared" si="2"/>
        <v>0.13080986767162273</v>
      </c>
    </row>
    <row r="63" spans="2:4" x14ac:dyDescent="0.25">
      <c r="B63">
        <f t="shared" si="3"/>
        <v>51</v>
      </c>
      <c r="C63" s="18">
        <f t="shared" si="1"/>
        <v>31.936239134549822</v>
      </c>
      <c r="D63" s="18">
        <f t="shared" si="2"/>
        <v>0.12981484778720898</v>
      </c>
    </row>
    <row r="64" spans="2:4" x14ac:dyDescent="0.25">
      <c r="B64">
        <f t="shared" si="3"/>
        <v>52</v>
      </c>
      <c r="C64" s="18">
        <f t="shared" si="1"/>
        <v>31.807411737917018</v>
      </c>
      <c r="D64" s="18">
        <f t="shared" si="2"/>
        <v>0.12882739663280418</v>
      </c>
    </row>
    <row r="65" spans="2:4" x14ac:dyDescent="0.25">
      <c r="B65">
        <f t="shared" si="3"/>
        <v>53</v>
      </c>
      <c r="C65" s="18">
        <f t="shared" si="1"/>
        <v>31.679564281281007</v>
      </c>
      <c r="D65" s="18">
        <f t="shared" si="2"/>
        <v>0.12784745663601171</v>
      </c>
    </row>
    <row r="66" spans="2:4" x14ac:dyDescent="0.25">
      <c r="B66">
        <f t="shared" si="3"/>
        <v>54</v>
      </c>
      <c r="C66" s="18">
        <f t="shared" si="1"/>
        <v>31.552689310618632</v>
      </c>
      <c r="D66" s="18">
        <f t="shared" si="2"/>
        <v>0.12687497066237441</v>
      </c>
    </row>
    <row r="67" spans="2:4" x14ac:dyDescent="0.25">
      <c r="B67">
        <f t="shared" si="3"/>
        <v>55</v>
      </c>
      <c r="C67" s="18">
        <f t="shared" si="1"/>
        <v>31.426779428606604</v>
      </c>
      <c r="D67" s="18">
        <f t="shared" si="2"/>
        <v>0.12590988201202791</v>
      </c>
    </row>
    <row r="68" spans="2:4" x14ac:dyDescent="0.25">
      <c r="B68">
        <f t="shared" ref="B68:B112" si="4">B67+1</f>
        <v>56</v>
      </c>
      <c r="C68" s="18">
        <f t="shared" si="1"/>
        <v>31.3018272941902</v>
      </c>
      <c r="D68" s="18">
        <f t="shared" si="2"/>
        <v>0.12495213441640374</v>
      </c>
    </row>
    <row r="69" spans="2:4" x14ac:dyDescent="0.25">
      <c r="B69">
        <f t="shared" si="4"/>
        <v>57</v>
      </c>
      <c r="C69" s="18">
        <f t="shared" si="1"/>
        <v>31.177825622155236</v>
      </c>
      <c r="D69" s="18">
        <f t="shared" si="2"/>
        <v>0.12400167203496437</v>
      </c>
    </row>
    <row r="70" spans="2:4" x14ac:dyDescent="0.25">
      <c r="B70">
        <f t="shared" si="4"/>
        <v>58</v>
      </c>
      <c r="C70" s="18">
        <f t="shared" si="1"/>
        <v>31.054767182703348</v>
      </c>
      <c r="D70" s="18">
        <f t="shared" si="2"/>
        <v>0.12305843945188855</v>
      </c>
    </row>
    <row r="71" spans="2:4" x14ac:dyDescent="0.25">
      <c r="B71">
        <f t="shared" si="4"/>
        <v>59</v>
      </c>
      <c r="C71" s="18">
        <f t="shared" si="1"/>
        <v>30.93264480103042</v>
      </c>
      <c r="D71" s="18">
        <f t="shared" si="2"/>
        <v>0.12212238167292711</v>
      </c>
    </row>
    <row r="72" spans="2:4" x14ac:dyDescent="0.25">
      <c r="B72">
        <f t="shared" si="4"/>
        <v>60</v>
      </c>
      <c r="C72" s="18">
        <f t="shared" si="1"/>
        <v>30.8114513569083</v>
      </c>
      <c r="D72" s="18">
        <f t="shared" si="2"/>
        <v>0.1211934441221203</v>
      </c>
    </row>
    <row r="73" spans="2:4" x14ac:dyDescent="0.25">
      <c r="B73">
        <f t="shared" si="4"/>
        <v>61</v>
      </c>
      <c r="C73" s="18">
        <f t="shared" si="1"/>
        <v>30.691179784269643</v>
      </c>
      <c r="D73" s="18">
        <f t="shared" si="2"/>
        <v>0.12027157263865718</v>
      </c>
    </row>
    <row r="74" spans="2:4" x14ac:dyDescent="0.25">
      <c r="B74">
        <f t="shared" si="4"/>
        <v>62</v>
      </c>
      <c r="C74" s="18">
        <f t="shared" si="1"/>
        <v>30.571823070795926</v>
      </c>
      <c r="D74" s="18">
        <f t="shared" si="2"/>
        <v>0.11935671347371724</v>
      </c>
    </row>
    <row r="75" spans="2:4" x14ac:dyDescent="0.25">
      <c r="B75">
        <f t="shared" si="4"/>
        <v>63</v>
      </c>
      <c r="C75" s="18">
        <f t="shared" si="1"/>
        <v>30.453374257508631</v>
      </c>
      <c r="D75" s="18">
        <f t="shared" si="2"/>
        <v>0.11844881328729429</v>
      </c>
    </row>
    <row r="76" spans="2:4" x14ac:dyDescent="0.25">
      <c r="B76">
        <f t="shared" si="4"/>
        <v>64</v>
      </c>
      <c r="C76" s="18">
        <f t="shared" si="1"/>
        <v>30.335826438363473</v>
      </c>
      <c r="D76" s="18">
        <f t="shared" si="2"/>
        <v>0.11754781914515888</v>
      </c>
    </row>
    <row r="77" spans="2:4" x14ac:dyDescent="0.25">
      <c r="B77">
        <f t="shared" si="4"/>
        <v>65</v>
      </c>
      <c r="C77" s="18">
        <f t="shared" si="1"/>
        <v>30.219172759847766</v>
      </c>
      <c r="D77" s="18">
        <f t="shared" si="2"/>
        <v>0.11665367851570707</v>
      </c>
    </row>
    <row r="78" spans="2:4" x14ac:dyDescent="0.25">
      <c r="B78">
        <f t="shared" si="4"/>
        <v>66</v>
      </c>
      <c r="C78" s="18">
        <f t="shared" si="1"/>
        <v>30.103406420580839</v>
      </c>
      <c r="D78" s="18">
        <f t="shared" si="2"/>
        <v>0.11576633926692637</v>
      </c>
    </row>
    <row r="79" spans="2:4" x14ac:dyDescent="0.25">
      <c r="B79">
        <f t="shared" si="4"/>
        <v>67</v>
      </c>
      <c r="C79" s="18">
        <f t="shared" ref="C79:C112" si="5">$D$7+($D$8-$D$7)*EXP(-$D$9*B79)</f>
        <v>29.988520670917485</v>
      </c>
      <c r="D79" s="18">
        <f t="shared" ref="D79:D112" si="6">C78-C79</f>
        <v>0.11488574966335463</v>
      </c>
    </row>
    <row r="80" spans="2:4" x14ac:dyDescent="0.25">
      <c r="B80">
        <f t="shared" si="4"/>
        <v>68</v>
      </c>
      <c r="C80" s="18">
        <f t="shared" si="5"/>
        <v>29.874508812554421</v>
      </c>
      <c r="D80" s="18">
        <f t="shared" si="6"/>
        <v>0.11401185836306382</v>
      </c>
    </row>
    <row r="81" spans="2:4" x14ac:dyDescent="0.25">
      <c r="B81">
        <f t="shared" si="4"/>
        <v>69</v>
      </c>
      <c r="C81" s="18">
        <f t="shared" si="5"/>
        <v>29.761364198139763</v>
      </c>
      <c r="D81" s="18">
        <f t="shared" si="6"/>
        <v>0.11314461441465795</v>
      </c>
    </row>
    <row r="82" spans="2:4" x14ac:dyDescent="0.25">
      <c r="B82">
        <f t="shared" si="4"/>
        <v>70</v>
      </c>
      <c r="C82" s="18">
        <f t="shared" si="5"/>
        <v>29.649080230885446</v>
      </c>
      <c r="D82" s="18">
        <f t="shared" si="6"/>
        <v>0.11228396725431722</v>
      </c>
    </row>
    <row r="83" spans="2:4" x14ac:dyDescent="0.25">
      <c r="B83">
        <f t="shared" si="4"/>
        <v>71</v>
      </c>
      <c r="C83" s="18">
        <f t="shared" si="5"/>
        <v>29.537650364182625</v>
      </c>
      <c r="D83" s="18">
        <f t="shared" si="6"/>
        <v>0.11142986670282085</v>
      </c>
    </row>
    <row r="84" spans="2:4" x14ac:dyDescent="0.25">
      <c r="B84">
        <f t="shared" si="4"/>
        <v>72</v>
      </c>
      <c r="C84" s="18">
        <f t="shared" si="5"/>
        <v>29.427068101219945</v>
      </c>
      <c r="D84" s="18">
        <f t="shared" si="6"/>
        <v>0.11058226296268003</v>
      </c>
    </row>
    <row r="85" spans="2:4" x14ac:dyDescent="0.25">
      <c r="B85">
        <f t="shared" si="4"/>
        <v>73</v>
      </c>
      <c r="C85" s="18">
        <f t="shared" si="5"/>
        <v>29.317326994604795</v>
      </c>
      <c r="D85" s="18">
        <f t="shared" si="6"/>
        <v>0.10974110661515013</v>
      </c>
    </row>
    <row r="86" spans="2:4" x14ac:dyDescent="0.25">
      <c r="B86">
        <f t="shared" si="4"/>
        <v>74</v>
      </c>
      <c r="C86" s="18">
        <f t="shared" si="5"/>
        <v>29.20842064598736</v>
      </c>
      <c r="D86" s="18">
        <f t="shared" si="6"/>
        <v>0.10890634861743465</v>
      </c>
    </row>
    <row r="87" spans="2:4" x14ac:dyDescent="0.25">
      <c r="B87">
        <f t="shared" si="4"/>
        <v>75</v>
      </c>
      <c r="C87" s="18">
        <f t="shared" si="5"/>
        <v>29.100342705687599</v>
      </c>
      <c r="D87" s="18">
        <f t="shared" si="6"/>
        <v>0.10807794029976137</v>
      </c>
    </row>
    <row r="88" spans="2:4" x14ac:dyDescent="0.25">
      <c r="B88">
        <f t="shared" si="4"/>
        <v>76</v>
      </c>
      <c r="C88" s="18">
        <f t="shared" si="5"/>
        <v>28.993086872325019</v>
      </c>
      <c r="D88" s="18">
        <f t="shared" si="6"/>
        <v>0.10725583336257927</v>
      </c>
    </row>
    <row r="89" spans="2:4" x14ac:dyDescent="0.25">
      <c r="B89">
        <f t="shared" si="4"/>
        <v>77</v>
      </c>
      <c r="C89" s="18">
        <f t="shared" si="5"/>
        <v>28.886646892451282</v>
      </c>
      <c r="D89" s="18">
        <f t="shared" si="6"/>
        <v>0.10643997987373766</v>
      </c>
    </row>
    <row r="90" spans="2:4" x14ac:dyDescent="0.25">
      <c r="B90">
        <f t="shared" si="4"/>
        <v>78</v>
      </c>
      <c r="C90" s="18">
        <f t="shared" si="5"/>
        <v>28.781016560185599</v>
      </c>
      <c r="D90" s="18">
        <f t="shared" si="6"/>
        <v>0.10563033226568308</v>
      </c>
    </row>
    <row r="91" spans="2:4" x14ac:dyDescent="0.25">
      <c r="B91">
        <f t="shared" si="4"/>
        <v>79</v>
      </c>
      <c r="C91" s="18">
        <f t="shared" si="5"/>
        <v>28.676189716852917</v>
      </c>
      <c r="D91" s="18">
        <f t="shared" si="6"/>
        <v>0.10482684333268111</v>
      </c>
    </row>
    <row r="92" spans="2:4" x14ac:dyDescent="0.25">
      <c r="B92">
        <f t="shared" si="4"/>
        <v>80</v>
      </c>
      <c r="C92" s="18">
        <f t="shared" si="5"/>
        <v>28.572160250624833</v>
      </c>
      <c r="D92" s="18">
        <f t="shared" si="6"/>
        <v>0.10402946622808429</v>
      </c>
    </row>
    <row r="93" spans="2:4" x14ac:dyDescent="0.25">
      <c r="B93">
        <f t="shared" si="4"/>
        <v>81</v>
      </c>
      <c r="C93" s="18">
        <f t="shared" si="5"/>
        <v>28.468922096163233</v>
      </c>
      <c r="D93" s="18">
        <f t="shared" si="6"/>
        <v>0.10323815446160012</v>
      </c>
    </row>
    <row r="94" spans="2:4" x14ac:dyDescent="0.25">
      <c r="B94">
        <f t="shared" si="4"/>
        <v>82</v>
      </c>
      <c r="C94" s="18">
        <f t="shared" si="5"/>
        <v>28.366469234266695</v>
      </c>
      <c r="D94" s="18">
        <f t="shared" si="6"/>
        <v>0.10245286189653768</v>
      </c>
    </row>
    <row r="95" spans="2:4" x14ac:dyDescent="0.25">
      <c r="B95">
        <f t="shared" si="4"/>
        <v>83</v>
      </c>
      <c r="C95" s="18">
        <f t="shared" si="5"/>
        <v>28.264795691519517</v>
      </c>
      <c r="D95" s="18">
        <f t="shared" si="6"/>
        <v>0.10167354274717866</v>
      </c>
    </row>
    <row r="96" spans="2:4" x14ac:dyDescent="0.25">
      <c r="B96">
        <f t="shared" si="4"/>
        <v>84</v>
      </c>
      <c r="C96" s="18">
        <f t="shared" si="5"/>
        <v>28.163895539943457</v>
      </c>
      <c r="D96" s="18">
        <f t="shared" si="6"/>
        <v>0.10090015157605947</v>
      </c>
    </row>
    <row r="97" spans="2:4" x14ac:dyDescent="0.25">
      <c r="B97">
        <f t="shared" si="4"/>
        <v>85</v>
      </c>
      <c r="C97" s="18">
        <f t="shared" si="5"/>
        <v>28.063762896652094</v>
      </c>
      <c r="D97" s="18">
        <f t="shared" si="6"/>
        <v>0.10013264329136362</v>
      </c>
    </row>
    <row r="98" spans="2:4" x14ac:dyDescent="0.25">
      <c r="B98">
        <f t="shared" si="4"/>
        <v>86</v>
      </c>
      <c r="C98" s="18">
        <f t="shared" si="5"/>
        <v>27.964391923507847</v>
      </c>
      <c r="D98" s="18">
        <f t="shared" si="6"/>
        <v>9.9370973144246477E-2</v>
      </c>
    </row>
    <row r="99" spans="2:4" x14ac:dyDescent="0.25">
      <c r="B99">
        <f t="shared" si="4"/>
        <v>87</v>
      </c>
      <c r="C99" s="18">
        <f t="shared" si="5"/>
        <v>27.865776826781577</v>
      </c>
      <c r="D99" s="18">
        <f t="shared" si="6"/>
        <v>9.8615096726270224E-2</v>
      </c>
    </row>
    <row r="100" spans="2:4" x14ac:dyDescent="0.25">
      <c r="B100">
        <f t="shared" si="4"/>
        <v>88</v>
      </c>
      <c r="C100" s="18">
        <f t="shared" si="5"/>
        <v>27.767911856814795</v>
      </c>
      <c r="D100" s="18">
        <f t="shared" si="6"/>
        <v>9.7864969966781956E-2</v>
      </c>
    </row>
    <row r="101" spans="2:4" x14ac:dyDescent="0.25">
      <c r="B101">
        <f t="shared" si="4"/>
        <v>89</v>
      </c>
      <c r="C101" s="18">
        <f t="shared" si="5"/>
        <v>27.670791307684439</v>
      </c>
      <c r="D101" s="18">
        <f t="shared" si="6"/>
        <v>9.7120549130355727E-2</v>
      </c>
    </row>
    <row r="102" spans="2:4" x14ac:dyDescent="0.25">
      <c r="B102">
        <f t="shared" si="4"/>
        <v>90</v>
      </c>
      <c r="C102" s="18">
        <f t="shared" si="5"/>
        <v>27.574409516870173</v>
      </c>
      <c r="D102" s="18">
        <f t="shared" si="6"/>
        <v>9.6381790814266566E-2</v>
      </c>
    </row>
    <row r="103" spans="2:4" x14ac:dyDescent="0.25">
      <c r="B103">
        <f t="shared" si="4"/>
        <v>91</v>
      </c>
      <c r="C103" s="18">
        <f t="shared" si="5"/>
        <v>27.478760864924269</v>
      </c>
      <c r="D103" s="18">
        <f t="shared" si="6"/>
        <v>9.5648651945904106E-2</v>
      </c>
    </row>
    <row r="104" spans="2:4" x14ac:dyDescent="0.25">
      <c r="B104">
        <f t="shared" si="4"/>
        <v>92</v>
      </c>
      <c r="C104" s="18">
        <f t="shared" si="5"/>
        <v>27.383839775143951</v>
      </c>
      <c r="D104" s="18">
        <f t="shared" si="6"/>
        <v>9.4921089780317658E-2</v>
      </c>
    </row>
    <row r="105" spans="2:4" x14ac:dyDescent="0.25">
      <c r="B105">
        <f t="shared" si="4"/>
        <v>93</v>
      </c>
      <c r="C105" s="18">
        <f t="shared" si="5"/>
        <v>27.289640713246257</v>
      </c>
      <c r="D105" s="18">
        <f t="shared" si="6"/>
        <v>9.4199061897693781E-2</v>
      </c>
    </row>
    <row r="106" spans="2:4" x14ac:dyDescent="0.25">
      <c r="B106">
        <f t="shared" si="4"/>
        <v>94</v>
      </c>
      <c r="C106" s="18">
        <f t="shared" si="5"/>
        <v>27.19615818704537</v>
      </c>
      <c r="D106" s="18">
        <f t="shared" si="6"/>
        <v>9.348252620088715E-2</v>
      </c>
    </row>
    <row r="107" spans="2:4" x14ac:dyDescent="0.25">
      <c r="B107">
        <f t="shared" si="4"/>
        <v>95</v>
      </c>
      <c r="C107" s="18">
        <f t="shared" si="5"/>
        <v>27.103386746132397</v>
      </c>
      <c r="D107" s="18">
        <f t="shared" si="6"/>
        <v>9.2771440912972736E-2</v>
      </c>
    </row>
    <row r="108" spans="2:4" x14ac:dyDescent="0.25">
      <c r="B108">
        <f t="shared" si="4"/>
        <v>96</v>
      </c>
      <c r="C108" s="18">
        <f t="shared" si="5"/>
        <v>27.011320981557581</v>
      </c>
      <c r="D108" s="18">
        <f t="shared" si="6"/>
        <v>9.2065764574815745E-2</v>
      </c>
    </row>
    <row r="109" spans="2:4" x14ac:dyDescent="0.25">
      <c r="B109">
        <f t="shared" si="4"/>
        <v>97</v>
      </c>
      <c r="C109" s="18">
        <f t="shared" si="5"/>
        <v>26.919955525514958</v>
      </c>
      <c r="D109" s="18">
        <f t="shared" si="6"/>
        <v>9.1365456042623805E-2</v>
      </c>
    </row>
    <row r="110" spans="2:4" x14ac:dyDescent="0.25">
      <c r="B110">
        <f t="shared" si="4"/>
        <v>98</v>
      </c>
      <c r="C110" s="18">
        <f t="shared" si="5"/>
        <v>26.82928505102938</v>
      </c>
      <c r="D110" s="18">
        <f t="shared" si="6"/>
        <v>9.0670474485577301E-2</v>
      </c>
    </row>
    <row r="111" spans="2:4" x14ac:dyDescent="0.25">
      <c r="B111">
        <f t="shared" si="4"/>
        <v>99</v>
      </c>
      <c r="C111" s="18">
        <f t="shared" si="5"/>
        <v>26.739304271645921</v>
      </c>
      <c r="D111" s="18">
        <f t="shared" si="6"/>
        <v>8.9980779383459719E-2</v>
      </c>
    </row>
    <row r="112" spans="2:4" x14ac:dyDescent="0.25">
      <c r="B112">
        <f t="shared" si="4"/>
        <v>100</v>
      </c>
      <c r="C112" s="18">
        <f t="shared" si="5"/>
        <v>26.650007941121668</v>
      </c>
      <c r="D112" s="18">
        <f t="shared" si="6"/>
        <v>8.9296330524252454E-2</v>
      </c>
    </row>
  </sheetData>
  <mergeCells count="2">
    <mergeCell ref="B2:G2"/>
    <mergeCell ref="B11:C11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3C26DE19A2D4DA8B7B8B727CBB41C" ma:contentTypeVersion="13" ma:contentTypeDescription="Create a new document." ma:contentTypeScope="" ma:versionID="4ecda32eaf68a99cf28f53f62aaa0ec4">
  <xsd:schema xmlns:xsd="http://www.w3.org/2001/XMLSchema" xmlns:xs="http://www.w3.org/2001/XMLSchema" xmlns:p="http://schemas.microsoft.com/office/2006/metadata/properties" xmlns:ns2="b3c0fe6d-2c8e-45a6-9426-932bf777e80d" xmlns:ns3="42d45af0-e0b8-4d40-9767-d92bfc62e74a" targetNamespace="http://schemas.microsoft.com/office/2006/metadata/properties" ma:root="true" ma:fieldsID="87d88cad974e45a8f2e0778d53ea97b5" ns2:_="" ns3:_="">
    <xsd:import namespace="b3c0fe6d-2c8e-45a6-9426-932bf777e80d"/>
    <xsd:import namespace="42d45af0-e0b8-4d40-9767-d92bfc62e7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fe6d-2c8e-45a6-9426-932bf777e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1094a19-0ae0-4f46-a430-10e60caa26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45af0-e0b8-4d40-9767-d92bfc62e74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iespalte &quot;Alle abfangen&quot;" ma:hidden="true" ma:list="{f9dc7695-a543-407e-bf4a-c4a61646a67e}" ma:internalName="TaxCatchAll" ma:showField="CatchAllData" ma:web="42d45af0-e0b8-4d40-9767-d92bfc62e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D20BD-B1CE-4F8C-8A3A-F80EC6EAEACF}"/>
</file>

<file path=customXml/itemProps2.xml><?xml version="1.0" encoding="utf-8"?>
<ds:datastoreItem xmlns:ds="http://schemas.openxmlformats.org/officeDocument/2006/customXml" ds:itemID="{80692819-8144-4A43-BABA-2B2C4C6D46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Mischungstemperatur</vt:lpstr>
      <vt:lpstr>benötigte Warmwassermenge</vt:lpstr>
      <vt:lpstr>Abgabemenge Boiler</vt:lpstr>
      <vt:lpstr>Hilfsblatt</vt:lpstr>
      <vt:lpstr>Wassererwärmung</vt:lpstr>
      <vt:lpstr>EN 60379</vt:lpstr>
      <vt:lpstr>Durchflussmenge</vt:lpstr>
      <vt:lpstr>Abkühlungsgesetz</vt:lpstr>
      <vt:lpstr>Grafik Abkühlungsgesetz</vt:lpstr>
      <vt:lpstr>Boilerdimensionierung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ErhardRainer</dc:creator>
  <cp:lastModifiedBy>ErhardRainer</cp:lastModifiedBy>
  <dcterms:created xsi:type="dcterms:W3CDTF">2014-01-02T17:36:09Z</dcterms:created>
  <dcterms:modified xsi:type="dcterms:W3CDTF">2014-01-06T18:29:50Z</dcterms:modified>
</cp:coreProperties>
</file>